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0400" windowHeight="7905" tabRatio="631" firstSheet="6" activeTab="0"/>
  </bookViews>
  <sheets>
    <sheet name="Biểu 15-NQ" sheetId="1" r:id="rId1"/>
    <sheet name="Biểu 16-NQ " sheetId="2" r:id="rId2"/>
    <sheet name="Biểu 17-NQ" sheetId="3" r:id="rId3"/>
    <sheet name="Biểu 18-NQ" sheetId="4" r:id="rId4"/>
    <sheet name="Bieu 30-NQ" sheetId="5" r:id="rId5"/>
    <sheet name="Bieu 32-NQ" sheetId="6" r:id="rId6"/>
    <sheet name="Biẻu 33-NQ" sheetId="7" r:id="rId7"/>
    <sheet name="Bieu 34-NQ" sheetId="8" r:id="rId8"/>
    <sheet name="Biểu 35-NQ" sheetId="9" r:id="rId9"/>
    <sheet name="Bieu 37-NQ" sheetId="10" r:id="rId10"/>
    <sheet name="Bieu 38-NQ" sheetId="11" r:id="rId11"/>
    <sheet name="Biểu 39-NQ" sheetId="12" r:id="rId12"/>
    <sheet name="Biểu 41-NQ" sheetId="13" r:id="rId13"/>
    <sheet name="Bieu 42-NQ"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Fill" localSheetId="6" hidden="1">#REF!</definedName>
    <definedName name="_Fill" localSheetId="7" hidden="1">#REF!</definedName>
    <definedName name="_Fill" localSheetId="0" hidden="1">#REF!</definedName>
    <definedName name="_Fill" localSheetId="1" hidden="1">#REF!</definedName>
    <definedName name="_Fill" localSheetId="2" hidden="1">#REF!</definedName>
    <definedName name="_Fill" localSheetId="11" hidden="1">#REF!</definedName>
    <definedName name="_Fill" localSheetId="12" hidden="1">#REF!</definedName>
    <definedName name="_Fill" hidden="1">#REF!</definedName>
    <definedName name="_xlnm._FilterDatabase" hidden="1">'[3]TL than'!#REF!</definedName>
    <definedName name="_Key1" hidden="1">#REF!</definedName>
    <definedName name="_Key2" hidden="1">#REF!</definedName>
    <definedName name="_Order1" hidden="1">255</definedName>
    <definedName name="_Order2" hidden="1">255</definedName>
    <definedName name="_Sort" hidden="1">#REF!</definedName>
    <definedName name="_xlfn.BAHTTEXT" hidden="1">#NAME?</definedName>
    <definedName name="_xlfn.IFERROR" hidden="1">#NAME?</definedName>
    <definedName name="a1" localSheetId="6" hidden="1">{"'Sheet1'!$L$16"}</definedName>
    <definedName name="a1" localSheetId="7" hidden="1">{"'Sheet1'!$L$16"}</definedName>
    <definedName name="a1" localSheetId="9" hidden="1">{"'Sheet1'!$L$16"}</definedName>
    <definedName name="a1" localSheetId="0" hidden="1">{"'Sheet1'!$L$16"}</definedName>
    <definedName name="a1" localSheetId="1" hidden="1">{"'Sheet1'!$L$16"}</definedName>
    <definedName name="a1" localSheetId="2" hidden="1">{"'Sheet1'!$L$16"}</definedName>
    <definedName name="a1" localSheetId="11" hidden="1">{"'Sheet1'!$L$16"}</definedName>
    <definedName name="a1" localSheetId="12" hidden="1">{"'Sheet1'!$L$16"}</definedName>
    <definedName name="a1" hidden="1">{"'Sheet1'!$L$16"}</definedName>
    <definedName name="anscount" localSheetId="8" hidden="1">1</definedName>
    <definedName name="anscount" hidden="1">3</definedName>
    <definedName name="BCBo" localSheetId="6" hidden="1">{"'Sheet1'!$L$16"}</definedName>
    <definedName name="BCBo" localSheetId="7" hidden="1">{"'Sheet1'!$L$16"}</definedName>
    <definedName name="BCBo" localSheetId="9" hidden="1">{"'Sheet1'!$L$16"}</definedName>
    <definedName name="BCBo" localSheetId="0" hidden="1">{"'Sheet1'!$L$16"}</definedName>
    <definedName name="BCBo" localSheetId="1" hidden="1">{"'Sheet1'!$L$16"}</definedName>
    <definedName name="BCBo" localSheetId="2" hidden="1">{"'Sheet1'!$L$16"}</definedName>
    <definedName name="BCBo" localSheetId="11" hidden="1">{"'Sheet1'!$L$16"}</definedName>
    <definedName name="BCBo" localSheetId="12" hidden="1">{"'Sheet1'!$L$16"}</definedName>
    <definedName name="BCBo" hidden="1">{"'Sheet1'!$L$16"}</definedName>
    <definedName name="Bgiang" localSheetId="6" hidden="1">{"'Sheet1'!$L$16"}</definedName>
    <definedName name="Bgiang" localSheetId="7" hidden="1">{"'Sheet1'!$L$16"}</definedName>
    <definedName name="Bgiang" localSheetId="9" hidden="1">{"'Sheet1'!$L$16"}</definedName>
    <definedName name="Bgiang" localSheetId="0" hidden="1">{"'Sheet1'!$L$16"}</definedName>
    <definedName name="Bgiang" localSheetId="1" hidden="1">{"'Sheet1'!$L$16"}</definedName>
    <definedName name="Bgiang" localSheetId="2" hidden="1">{"'Sheet1'!$L$16"}</definedName>
    <definedName name="Bgiang" localSheetId="8" hidden="1">{"'Sheet1'!$L$16"}</definedName>
    <definedName name="Bgiang" localSheetId="11" hidden="1">{"'Sheet1'!$L$16"}</definedName>
    <definedName name="Bgiang" localSheetId="12" hidden="1">{"'Sheet1'!$L$16"}</definedName>
    <definedName name="Bgiang" hidden="1">{"'Sheet1'!$L$16"}</definedName>
    <definedName name="DUCANH" localSheetId="6" hidden="1">{"'Sheet1'!$L$16"}</definedName>
    <definedName name="DUCANH" localSheetId="7" hidden="1">{"'Sheet1'!$L$16"}</definedName>
    <definedName name="DUCANH" localSheetId="9" hidden="1">{"'Sheet1'!$L$16"}</definedName>
    <definedName name="DUCANH" localSheetId="0" hidden="1">{"'Sheet1'!$L$16"}</definedName>
    <definedName name="DUCANH" localSheetId="1" hidden="1">{"'Sheet1'!$L$16"}</definedName>
    <definedName name="DUCANH" localSheetId="2" hidden="1">{"'Sheet1'!$L$16"}</definedName>
    <definedName name="DUCANH" localSheetId="11" hidden="1">{"'Sheet1'!$L$16"}</definedName>
    <definedName name="DUCANH" localSheetId="12" hidden="1">{"'Sheet1'!$L$16"}</definedName>
    <definedName name="DUCANH" hidden="1">{"'Sheet1'!$L$16"}</definedName>
    <definedName name="fff" localSheetId="6" hidden="1">{"'Sheet1'!$L$16"}</definedName>
    <definedName name="fff" localSheetId="7" hidden="1">{"'Sheet1'!$L$16"}</definedName>
    <definedName name="fff" localSheetId="9" hidden="1">{"'Sheet1'!$L$16"}</definedName>
    <definedName name="fff" localSheetId="0" hidden="1">{"'Sheet1'!$L$16"}</definedName>
    <definedName name="fff" localSheetId="1" hidden="1">{"'Sheet1'!$L$16"}</definedName>
    <definedName name="fff" localSheetId="2" hidden="1">{"'Sheet1'!$L$16"}</definedName>
    <definedName name="fff" localSheetId="8" hidden="1">{"'Sheet1'!$L$16"}</definedName>
    <definedName name="fff" localSheetId="11" hidden="1">{"'Sheet1'!$L$16"}</definedName>
    <definedName name="fff" localSheetId="12" hidden="1">{"'Sheet1'!$L$16"}</definedName>
    <definedName name="fff" hidden="1">{"'Sheet1'!$L$16"}</definedName>
    <definedName name="g" localSheetId="9" hidden="1">{"'Sheet1'!$L$16"}</definedName>
    <definedName name="g" localSheetId="8" hidden="1">{"'Sheet1'!$L$16"}</definedName>
    <definedName name="h" localSheetId="6" hidden="1">{"'Sheet1'!$L$16"}</definedName>
    <definedName name="h" localSheetId="7" hidden="1">{"'Sheet1'!$L$16"}</definedName>
    <definedName name="h" localSheetId="9" hidden="1">{"'Sheet1'!$L$16"}</definedName>
    <definedName name="h" localSheetId="0" hidden="1">{"'Sheet1'!$L$16"}</definedName>
    <definedName name="h" localSheetId="1" hidden="1">{"'Sheet1'!$L$16"}</definedName>
    <definedName name="h" localSheetId="2" hidden="1">{"'Sheet1'!$L$16"}</definedName>
    <definedName name="h" localSheetId="8" hidden="1">{"'Sheet1'!$L$16"}</definedName>
    <definedName name="h" localSheetId="11" hidden="1">{"'Sheet1'!$L$16"}</definedName>
    <definedName name="h" localSheetId="12" hidden="1">{"'Sheet1'!$L$16"}</definedName>
    <definedName name="h" hidden="1">{"'Sheet1'!$L$16"}</definedName>
    <definedName name="h1" localSheetId="6" hidden="1">{"'Sheet1'!$L$16"}</definedName>
    <definedName name="h1" localSheetId="7" hidden="1">{"'Sheet1'!$L$16"}</definedName>
    <definedName name="h1" localSheetId="9" hidden="1">{"'Sheet1'!$L$16"}</definedName>
    <definedName name="h1" localSheetId="0" hidden="1">{"'Sheet1'!$L$16"}</definedName>
    <definedName name="h1" localSheetId="1" hidden="1">{"'Sheet1'!$L$16"}</definedName>
    <definedName name="h1" localSheetId="2" hidden="1">{"'Sheet1'!$L$16"}</definedName>
    <definedName name="h1" localSheetId="11" hidden="1">{"'Sheet1'!$L$16"}</definedName>
    <definedName name="h1" localSheetId="12" hidden="1">{"'Sheet1'!$L$16"}</definedName>
    <definedName name="h1" hidden="1">{"'Sheet1'!$L$16"}</definedName>
    <definedName name="h10" localSheetId="6" hidden="1">{#N/A,#N/A,FALSE,"Chi ti?t"}</definedName>
    <definedName name="h10" localSheetId="7" hidden="1">{#N/A,#N/A,FALSE,"Chi ti?t"}</definedName>
    <definedName name="h10" localSheetId="9" hidden="1">{#N/A,#N/A,FALSE,"Chi ti?t"}</definedName>
    <definedName name="h10" localSheetId="0" hidden="1">{#N/A,#N/A,FALSE,"Chi ti?t"}</definedName>
    <definedName name="h10" localSheetId="1" hidden="1">{#N/A,#N/A,FALSE,"Chi ti?t"}</definedName>
    <definedName name="h10" localSheetId="2" hidden="1">{#N/A,#N/A,FALSE,"Chi ti?t"}</definedName>
    <definedName name="h10" localSheetId="11" hidden="1">{#N/A,#N/A,FALSE,"Chi ti?t"}</definedName>
    <definedName name="h10" localSheetId="12" hidden="1">{#N/A,#N/A,FALSE,"Chi ti?t"}</definedName>
    <definedName name="h10" hidden="1">{#N/A,#N/A,FALSE,"Chi ti?t"}</definedName>
    <definedName name="h2" localSheetId="6" hidden="1">{"'Sheet1'!$L$16"}</definedName>
    <definedName name="h2" localSheetId="7" hidden="1">{"'Sheet1'!$L$16"}</definedName>
    <definedName name="h2" localSheetId="9" hidden="1">{"'Sheet1'!$L$16"}</definedName>
    <definedName name="h2" localSheetId="0" hidden="1">{"'Sheet1'!$L$16"}</definedName>
    <definedName name="h2" localSheetId="1" hidden="1">{"'Sheet1'!$L$16"}</definedName>
    <definedName name="h2" localSheetId="2" hidden="1">{"'Sheet1'!$L$16"}</definedName>
    <definedName name="h2" localSheetId="11" hidden="1">{"'Sheet1'!$L$16"}</definedName>
    <definedName name="h2" localSheetId="12" hidden="1">{"'Sheet1'!$L$16"}</definedName>
    <definedName name="h2" hidden="1">{"'Sheet1'!$L$16"}</definedName>
    <definedName name="h3" localSheetId="6" hidden="1">{"'Sheet1'!$L$16"}</definedName>
    <definedName name="h3" localSheetId="7" hidden="1">{"'Sheet1'!$L$16"}</definedName>
    <definedName name="h3" localSheetId="9" hidden="1">{"'Sheet1'!$L$16"}</definedName>
    <definedName name="h3" localSheetId="0" hidden="1">{"'Sheet1'!$L$16"}</definedName>
    <definedName name="h3" localSheetId="1" hidden="1">{"'Sheet1'!$L$16"}</definedName>
    <definedName name="h3" localSheetId="2" hidden="1">{"'Sheet1'!$L$16"}</definedName>
    <definedName name="h3" localSheetId="11" hidden="1">{"'Sheet1'!$L$16"}</definedName>
    <definedName name="h3" localSheetId="12" hidden="1">{"'Sheet1'!$L$16"}</definedName>
    <definedName name="h3" hidden="1">{"'Sheet1'!$L$16"}</definedName>
    <definedName name="h5" localSheetId="6" hidden="1">{"'Sheet1'!$L$16"}</definedName>
    <definedName name="h5" localSheetId="7" hidden="1">{"'Sheet1'!$L$16"}</definedName>
    <definedName name="h5" localSheetId="9" hidden="1">{"'Sheet1'!$L$16"}</definedName>
    <definedName name="h5" localSheetId="0" hidden="1">{"'Sheet1'!$L$16"}</definedName>
    <definedName name="h5" localSheetId="1" hidden="1">{"'Sheet1'!$L$16"}</definedName>
    <definedName name="h5" localSheetId="2" hidden="1">{"'Sheet1'!$L$16"}</definedName>
    <definedName name="h5" localSheetId="11" hidden="1">{"'Sheet1'!$L$16"}</definedName>
    <definedName name="h5" localSheetId="12" hidden="1">{"'Sheet1'!$L$16"}</definedName>
    <definedName name="h5" hidden="1">{"'Sheet1'!$L$16"}</definedName>
    <definedName name="h6" localSheetId="6" hidden="1">{"'Sheet1'!$L$16"}</definedName>
    <definedName name="h6" localSheetId="7" hidden="1">{"'Sheet1'!$L$16"}</definedName>
    <definedName name="h6" localSheetId="9" hidden="1">{"'Sheet1'!$L$16"}</definedName>
    <definedName name="h6" localSheetId="0" hidden="1">{"'Sheet1'!$L$16"}</definedName>
    <definedName name="h6" localSheetId="1" hidden="1">{"'Sheet1'!$L$16"}</definedName>
    <definedName name="h6" localSheetId="2" hidden="1">{"'Sheet1'!$L$16"}</definedName>
    <definedName name="h6" localSheetId="11" hidden="1">{"'Sheet1'!$L$16"}</definedName>
    <definedName name="h6" localSheetId="12" hidden="1">{"'Sheet1'!$L$16"}</definedName>
    <definedName name="h6" hidden="1">{"'Sheet1'!$L$16"}</definedName>
    <definedName name="h7" localSheetId="6" hidden="1">{"'Sheet1'!$L$16"}</definedName>
    <definedName name="h7" localSheetId="7" hidden="1">{"'Sheet1'!$L$16"}</definedName>
    <definedName name="h7" localSheetId="9" hidden="1">{"'Sheet1'!$L$16"}</definedName>
    <definedName name="h7" localSheetId="0" hidden="1">{"'Sheet1'!$L$16"}</definedName>
    <definedName name="h7" localSheetId="1" hidden="1">{"'Sheet1'!$L$16"}</definedName>
    <definedName name="h7" localSheetId="2" hidden="1">{"'Sheet1'!$L$16"}</definedName>
    <definedName name="h7" localSheetId="11" hidden="1">{"'Sheet1'!$L$16"}</definedName>
    <definedName name="h7" localSheetId="12" hidden="1">{"'Sheet1'!$L$16"}</definedName>
    <definedName name="h7" hidden="1">{"'Sheet1'!$L$16"}</definedName>
    <definedName name="h8" localSheetId="6" hidden="1">{"'Sheet1'!$L$16"}</definedName>
    <definedName name="h8" localSheetId="7" hidden="1">{"'Sheet1'!$L$16"}</definedName>
    <definedName name="h8" localSheetId="9" hidden="1">{"'Sheet1'!$L$16"}</definedName>
    <definedName name="h8" localSheetId="0" hidden="1">{"'Sheet1'!$L$16"}</definedName>
    <definedName name="h8" localSheetId="1" hidden="1">{"'Sheet1'!$L$16"}</definedName>
    <definedName name="h8" localSheetId="2" hidden="1">{"'Sheet1'!$L$16"}</definedName>
    <definedName name="h8" localSheetId="11" hidden="1">{"'Sheet1'!$L$16"}</definedName>
    <definedName name="h8" localSheetId="12" hidden="1">{"'Sheet1'!$L$16"}</definedName>
    <definedName name="h8" hidden="1">{"'Sheet1'!$L$16"}</definedName>
    <definedName name="h9" localSheetId="6" hidden="1">{"'Sheet1'!$L$16"}</definedName>
    <definedName name="h9" localSheetId="7" hidden="1">{"'Sheet1'!$L$16"}</definedName>
    <definedName name="h9" localSheetId="9" hidden="1">{"'Sheet1'!$L$16"}</definedName>
    <definedName name="h9" localSheetId="0" hidden="1">{"'Sheet1'!$L$16"}</definedName>
    <definedName name="h9" localSheetId="1" hidden="1">{"'Sheet1'!$L$16"}</definedName>
    <definedName name="h9" localSheetId="2" hidden="1">{"'Sheet1'!$L$16"}</definedName>
    <definedName name="h9" localSheetId="11" hidden="1">{"'Sheet1'!$L$16"}</definedName>
    <definedName name="h9" localSheetId="12" hidden="1">{"'Sheet1'!$L$16"}</definedName>
    <definedName name="h9" hidden="1">{"'Sheet1'!$L$16"}</definedName>
    <definedName name="HANG" localSheetId="6" hidden="1">{#N/A,#N/A,FALSE,"Chi ti?t"}</definedName>
    <definedName name="HANG" localSheetId="7" hidden="1">{#N/A,#N/A,FALSE,"Chi ti?t"}</definedName>
    <definedName name="HANG" localSheetId="9" hidden="1">{#N/A,#N/A,FALSE,"Chi ti?t"}</definedName>
    <definedName name="HANG" localSheetId="0" hidden="1">{#N/A,#N/A,FALSE,"Chi ti?t"}</definedName>
    <definedName name="HANG" localSheetId="1" hidden="1">{#N/A,#N/A,FALSE,"Chi ti?t"}</definedName>
    <definedName name="HANG" localSheetId="2" hidden="1">{#N/A,#N/A,FALSE,"Chi ti?t"}</definedName>
    <definedName name="HANG" localSheetId="11" hidden="1">{#N/A,#N/A,FALSE,"Chi ti?t"}</definedName>
    <definedName name="HANG" localSheetId="12" hidden="1">{#N/A,#N/A,FALSE,"Chi ti?t"}</definedName>
    <definedName name="HANG" hidden="1">{#N/A,#N/A,FALSE,"Chi ti?t"}</definedName>
    <definedName name="HIHIHIHOI" localSheetId="6" hidden="1">{"'Sheet1'!$L$16"}</definedName>
    <definedName name="HIHIHIHOI" localSheetId="7" hidden="1">{"'Sheet1'!$L$16"}</definedName>
    <definedName name="HIHIHIHOI" localSheetId="9" hidden="1">{"'Sheet1'!$L$16"}</definedName>
    <definedName name="HIHIHIHOI" localSheetId="0" hidden="1">{"'Sheet1'!$L$16"}</definedName>
    <definedName name="HIHIHIHOI" localSheetId="1" hidden="1">{"'Sheet1'!$L$16"}</definedName>
    <definedName name="HIHIHIHOI" localSheetId="2" hidden="1">{"'Sheet1'!$L$16"}</definedName>
    <definedName name="HIHIHIHOI" localSheetId="11" hidden="1">{"'Sheet1'!$L$16"}</definedName>
    <definedName name="HIHIHIHOI" localSheetId="12" hidden="1">{"'Sheet1'!$L$16"}</definedName>
    <definedName name="HIHIHIHOI" hidden="1">{"'Sheet1'!$L$16"}</definedName>
    <definedName name="HJKL" localSheetId="6" hidden="1">{"'Sheet1'!$L$16"}</definedName>
    <definedName name="HJKL" localSheetId="7" hidden="1">{"'Sheet1'!$L$16"}</definedName>
    <definedName name="HJKL" localSheetId="9" hidden="1">{"'Sheet1'!$L$16"}</definedName>
    <definedName name="HJKL" localSheetId="0" hidden="1">{"'Sheet1'!$L$16"}</definedName>
    <definedName name="HJKL" localSheetId="1" hidden="1">{"'Sheet1'!$L$16"}</definedName>
    <definedName name="HJKL" localSheetId="2" hidden="1">{"'Sheet1'!$L$16"}</definedName>
    <definedName name="HJKL" localSheetId="11" hidden="1">{"'Sheet1'!$L$16"}</definedName>
    <definedName name="HJKL" localSheetId="12" hidden="1">{"'Sheet1'!$L$16"}</definedName>
    <definedName name="HJKL" hidden="1">{"'Sheet1'!$L$16"}</definedName>
    <definedName name="HTML_CodePage" hidden="1">950</definedName>
    <definedName name="HTML_Control" localSheetId="6" hidden="1">{"'Sheet1'!$L$16"}</definedName>
    <definedName name="HTML_Control" localSheetId="7" hidden="1">{"'Sheet1'!$L$16"}</definedName>
    <definedName name="HTML_Control" localSheetId="9" hidden="1">{"'Sheet1'!$L$16"}</definedName>
    <definedName name="HTML_Control" localSheetId="0" hidden="1">{"'Sheet1'!$L$16"}</definedName>
    <definedName name="HTML_Control" localSheetId="1" hidden="1">{"'Sheet1'!$L$16"}</definedName>
    <definedName name="HTML_Control" localSheetId="2" hidden="1">{"'Sheet1'!$L$16"}</definedName>
    <definedName name="HTML_Control" localSheetId="8" hidden="1">{"'Sheet1'!$L$16"}</definedName>
    <definedName name="HTML_Control" localSheetId="11" hidden="1">{"'Sheet1'!$L$16"}</definedName>
    <definedName name="HTML_Control" localSheetId="1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6" hidden="1">{"'Sheet1'!$L$16"}</definedName>
    <definedName name="huy" localSheetId="7" hidden="1">{"'Sheet1'!$L$16"}</definedName>
    <definedName name="huy" localSheetId="9" hidden="1">{"'Sheet1'!$L$16"}</definedName>
    <definedName name="huy" localSheetId="0" hidden="1">{"'Sheet1'!$L$16"}</definedName>
    <definedName name="huy" localSheetId="1" hidden="1">{"'Sheet1'!$L$16"}</definedName>
    <definedName name="huy" localSheetId="2" hidden="1">{"'Sheet1'!$L$16"}</definedName>
    <definedName name="huy" localSheetId="8" hidden="1">{"'Sheet1'!$L$16"}</definedName>
    <definedName name="huy" localSheetId="11" hidden="1">{"'Sheet1'!$L$16"}</definedName>
    <definedName name="huy" localSheetId="12" hidden="1">{"'Sheet1'!$L$16"}</definedName>
    <definedName name="huy" hidden="1">{"'Sheet1'!$L$16"}</definedName>
    <definedName name="o" localSheetId="6" hidden="1">{"'Sheet1'!$L$16"}</definedName>
    <definedName name="o" localSheetId="7" hidden="1">{"'Sheet1'!$L$16"}</definedName>
    <definedName name="o" localSheetId="9" hidden="1">{"'Sheet1'!$L$16"}</definedName>
    <definedName name="o" localSheetId="0" hidden="1">{"'Sheet1'!$L$16"}</definedName>
    <definedName name="o" localSheetId="1" hidden="1">{"'Sheet1'!$L$16"}</definedName>
    <definedName name="o" localSheetId="2" hidden="1">{"'Sheet1'!$L$16"}</definedName>
    <definedName name="o" localSheetId="8" hidden="1">{"'Sheet1'!$L$16"}</definedName>
    <definedName name="o" localSheetId="11" hidden="1">{"'Sheet1'!$L$16"}</definedName>
    <definedName name="o" localSheetId="12" hidden="1">{"'Sheet1'!$L$16"}</definedName>
    <definedName name="o" hidden="1">{"'Sheet1'!$L$16"}</definedName>
    <definedName name="PA3" localSheetId="6" hidden="1">{"'Sheet1'!$L$16"}</definedName>
    <definedName name="PA3" localSheetId="7" hidden="1">{"'Sheet1'!$L$16"}</definedName>
    <definedName name="PA3" localSheetId="9" hidden="1">{"'Sheet1'!$L$16"}</definedName>
    <definedName name="PA3" localSheetId="0" hidden="1">{"'Sheet1'!$L$16"}</definedName>
    <definedName name="PA3" localSheetId="1" hidden="1">{"'Sheet1'!$L$16"}</definedName>
    <definedName name="PA3" localSheetId="2" hidden="1">{"'Sheet1'!$L$16"}</definedName>
    <definedName name="PA3" localSheetId="11" hidden="1">{"'Sheet1'!$L$16"}</definedName>
    <definedName name="PA3" localSheetId="12" hidden="1">{"'Sheet1'!$L$16"}</definedName>
    <definedName name="PA3" hidden="1">{"'Sheet1'!$L$16"}</definedName>
    <definedName name="_xlnm.Print_Area" localSheetId="4">'Bieu 30-NQ'!$A$1:$H$48</definedName>
    <definedName name="_xlnm.Print_Area" localSheetId="6">'Biẻu 33-NQ'!$A$1:$E$133</definedName>
    <definedName name="_xlnm.Print_Area" localSheetId="7">'Bieu 34-NQ'!$A$1:$C$85</definedName>
    <definedName name="_xlnm.Print_Area" localSheetId="13">'Bieu 42-NQ'!$A$1:$F$24</definedName>
    <definedName name="_xlnm.Print_Area" localSheetId="1">'Biểu 16-NQ '!$A$1:$J$67</definedName>
    <definedName name="_xlnm.Print_Area" localSheetId="2">'Biểu 17-NQ'!$A$1:$N$126</definedName>
    <definedName name="_xlnm.Print_Area" localSheetId="3">'Biểu 18-NQ'!$A$1:$E$55</definedName>
    <definedName name="_xlnm.Print_Area" localSheetId="11">'Biểu 39-NQ'!$A$1:$K$25</definedName>
    <definedName name="_xlnm.Print_Area" localSheetId="12">'Biểu 41-NQ'!$A$1:$U$29</definedName>
    <definedName name="_xlnm.Print_Titles" localSheetId="6">'Biẻu 33-NQ'!$7:$8</definedName>
    <definedName name="_xlnm.Print_Titles" localSheetId="7">'Bieu 34-NQ'!$6:$7</definedName>
    <definedName name="_xlnm.Print_Titles" localSheetId="9">'Bieu 37-NQ'!$5:$8</definedName>
    <definedName name="_xlnm.Print_Titles" localSheetId="2">'Biểu 17-NQ'!$7:$10</definedName>
    <definedName name="_xlnm.Print_Titles" localSheetId="8">'Biểu 35-NQ'!$5:$8</definedName>
    <definedName name="RGHGSD" localSheetId="6" hidden="1">{"'Sheet1'!$L$16"}</definedName>
    <definedName name="RGHGSD" localSheetId="7" hidden="1">{"'Sheet1'!$L$16"}</definedName>
    <definedName name="RGHGSD" localSheetId="9" hidden="1">{"'Sheet1'!$L$16"}</definedName>
    <definedName name="RGHGSD" localSheetId="0" hidden="1">{"'Sheet1'!$L$16"}</definedName>
    <definedName name="RGHGSD" localSheetId="1" hidden="1">{"'Sheet1'!$L$16"}</definedName>
    <definedName name="RGHGSD" localSheetId="2" hidden="1">{"'Sheet1'!$L$16"}</definedName>
    <definedName name="RGHGSD" localSheetId="11" hidden="1">{"'Sheet1'!$L$16"}</definedName>
    <definedName name="RGHGSD" localSheetId="12" hidden="1">{"'Sheet1'!$L$16"}</definedName>
    <definedName name="RGHGSD" hidden="1">{"'Sheet1'!$L$16"}</definedName>
    <definedName name="sencount" hidden="1">2</definedName>
    <definedName name="wrn.chi._.tiÆt." localSheetId="6" hidden="1">{#N/A,#N/A,FALSE,"Chi ti?t"}</definedName>
    <definedName name="wrn.chi._.tiÆt." localSheetId="7" hidden="1">{#N/A,#N/A,FALSE,"Chi ti?t"}</definedName>
    <definedName name="wrn.chi._.tiÆt." localSheetId="9" hidden="1">{#N/A,#N/A,FALSE,"Chi ti?t"}</definedName>
    <definedName name="wrn.chi._.tiÆt." localSheetId="0" hidden="1">{#N/A,#N/A,FALSE,"Chi ti?t"}</definedName>
    <definedName name="wrn.chi._.tiÆt." localSheetId="1" hidden="1">{#N/A,#N/A,FALSE,"Chi ti?t"}</definedName>
    <definedName name="wrn.chi._.tiÆt." localSheetId="2" hidden="1">{#N/A,#N/A,FALSE,"Chi ti?t"}</definedName>
    <definedName name="wrn.chi._.tiÆt." localSheetId="11" hidden="1">{#N/A,#N/A,FALSE,"Chi ti?t"}</definedName>
    <definedName name="wrn.chi._.tiÆt." localSheetId="12" hidden="1">{#N/A,#N/A,FALSE,"Chi ti?t"}</definedName>
    <definedName name="wrn.chi._.tiÆt." hidden="1">{#N/A,#N/A,FALSE,"Chi ti?t"}</definedName>
  </definedNames>
  <calcPr fullCalcOnLoad="1"/>
</workbook>
</file>

<file path=xl/sharedStrings.xml><?xml version="1.0" encoding="utf-8"?>
<sst xmlns="http://schemas.openxmlformats.org/spreadsheetml/2006/main" count="1172" uniqueCount="641">
  <si>
    <t>Đơn vị tính: Triệu đồng</t>
  </si>
  <si>
    <t>STT</t>
  </si>
  <si>
    <t>TỔNG SỐ</t>
  </si>
  <si>
    <t>A</t>
  </si>
  <si>
    <t>I</t>
  </si>
  <si>
    <t>Lệ phí trước bạ</t>
  </si>
  <si>
    <t>Thuế thu nhập cá nhân</t>
  </si>
  <si>
    <t>Thu tiền sử dụng đất</t>
  </si>
  <si>
    <t>Thu khác ngân sách</t>
  </si>
  <si>
    <t>Thuế bảo vệ môi trường</t>
  </si>
  <si>
    <t>II</t>
  </si>
  <si>
    <t>-</t>
  </si>
  <si>
    <t>B</t>
  </si>
  <si>
    <t>Chi đầu tư từ nguồn thu tiền sử dụng đất</t>
  </si>
  <si>
    <t>III</t>
  </si>
  <si>
    <t>IV</t>
  </si>
  <si>
    <t>Biểu mẫu số 16 - NĐ 31/2017/NĐ-CP</t>
  </si>
  <si>
    <t>Đơn vị: Triệu đồng</t>
  </si>
  <si>
    <t>Nội dung</t>
  </si>
  <si>
    <t>Dự toán năm 2018</t>
  </si>
  <si>
    <t>So sánh (%)</t>
  </si>
  <si>
    <t>Tổng thu NSNN</t>
  </si>
  <si>
    <t>Thu NSĐP</t>
  </si>
  <si>
    <t>Thu nội địa</t>
  </si>
  <si>
    <t>Thu từ khu vực DNNN do trung ương quản lý</t>
  </si>
  <si>
    <t>Thuế giá trị gia tăng</t>
  </si>
  <si>
    <t>Thuế thu nhập doanh nghiệp</t>
  </si>
  <si>
    <t>Thuế tài nguyên</t>
  </si>
  <si>
    <t>Thu hồi vốn và thu khác</t>
  </si>
  <si>
    <t>Thu từ khu vực DNNN do địa phương quản lý</t>
  </si>
  <si>
    <t>Thuế tiêu thụ đặc biệt hàng hóa, dịch vụ trong nước</t>
  </si>
  <si>
    <t>Thu từ khu vực doanh nghiệp có vốn đầu tư nước ngoài</t>
  </si>
  <si>
    <t>Thu từ khu vực kinh tế ngoài quốc doanh</t>
  </si>
  <si>
    <t>Các khoản thu khác ngoài quốc doanh</t>
  </si>
  <si>
    <t>Thuế  BVMT thu từ hàng hóa sản xuất, kinh doanh trong nước</t>
  </si>
  <si>
    <t>Thuế  BVMT thu từ hàng hóa nhập khẩu</t>
  </si>
  <si>
    <t xml:space="preserve">Thu phí, lệ phí </t>
  </si>
  <si>
    <t xml:space="preserve">                  - Lệ phí môn bài</t>
  </si>
  <si>
    <t>Thuế sử dụng đất phi nông nghiệp</t>
  </si>
  <si>
    <t>Tiền cho thuê đất, thuê mặt nước</t>
  </si>
  <si>
    <t>- Thu cấp tiền sử dụng đất</t>
  </si>
  <si>
    <t>Trong đó: + Trên địa bàn các phường và thị trấn</t>
  </si>
  <si>
    <t>- Thu đấu giá đất</t>
  </si>
  <si>
    <t>Tiền cho thuê và tiền bán nhà ở thuộc sở hữu nhà nước</t>
  </si>
  <si>
    <t>Thu từ hoạt động xổ số kiến thiết</t>
  </si>
  <si>
    <t>Thu tiền cấp quyền khai thác khoáng sản</t>
  </si>
  <si>
    <t>Thu từ quỹ đất công ích, hoa lợi công sản khác</t>
  </si>
  <si>
    <t>Thu hải quan</t>
  </si>
  <si>
    <t xml:space="preserve">Thuế GTGT </t>
  </si>
  <si>
    <t>Thuế nhập khẩu</t>
  </si>
  <si>
    <t>Thuế xuất khẩu</t>
  </si>
  <si>
    <t>Thuế tiêu thụ đặc biệt</t>
  </si>
  <si>
    <t>Thu viện trợ</t>
  </si>
  <si>
    <t>Tên đơn vị</t>
  </si>
  <si>
    <t>Tổng số</t>
  </si>
  <si>
    <t>Bao gồm</t>
  </si>
  <si>
    <t>Thành phố Điện Biên Phủ</t>
  </si>
  <si>
    <t>Thị xã Mường Lay</t>
  </si>
  <si>
    <t>Huyện Điện Biên</t>
  </si>
  <si>
    <t>Huyện Điện Biên Đông</t>
  </si>
  <si>
    <t>Huyện Mường Chà</t>
  </si>
  <si>
    <t>Huyện Mường Ảng</t>
  </si>
  <si>
    <t>Huyện Tuần Giáo</t>
  </si>
  <si>
    <t>Huyện Tủa Chùa</t>
  </si>
  <si>
    <t>Huyện Mường Nhé</t>
  </si>
  <si>
    <t>Huyện Nậm Pồ</t>
  </si>
  <si>
    <t xml:space="preserve"> - Đầu tư hạ tầng từ nguồn thu đấu giá đất</t>
  </si>
  <si>
    <t xml:space="preserve"> * Vốn đầu tư</t>
  </si>
  <si>
    <t xml:space="preserve"> * Vốn sự nghiệp</t>
  </si>
  <si>
    <t>Biểu mẫu số 17 - NĐ 31/2017/NĐ-CP</t>
  </si>
  <si>
    <t>Stt</t>
  </si>
  <si>
    <t>So sánh</t>
  </si>
  <si>
    <t>Chênh lệch tăng giảm</t>
  </si>
  <si>
    <t>Dư chưa phân bổ</t>
  </si>
  <si>
    <t>Ngân sách tỉnh</t>
  </si>
  <si>
    <t>Tuyệt đối</t>
  </si>
  <si>
    <t>Tương đối (%)</t>
  </si>
  <si>
    <t>QLNS</t>
  </si>
  <si>
    <t>HCSN</t>
  </si>
  <si>
    <t>3=2-1</t>
  </si>
  <si>
    <t>4=2/1</t>
  </si>
  <si>
    <t>TỔNG CHI NGÂN SÁCH ĐỊA PHƯƠNG</t>
  </si>
  <si>
    <t xml:space="preserve"> CHI CÂN ĐỐI NSĐP</t>
  </si>
  <si>
    <t xml:space="preserve"> Trong đó: Chi từ nguồn Chính phủ vay về cho vay lại</t>
  </si>
  <si>
    <t xml:space="preserve"> - Đầu tư hạ tầng từ nguồn thu cấp quyền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</si>
  <si>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</si>
  <si>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</si>
  <si>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thường xuyên</t>
  </si>
  <si>
    <t xml:space="preserve"> - Trả lãi vay đầu tư lưới điện nông thôn II (RELL II)</t>
  </si>
  <si>
    <t xml:space="preserve"> - Trả phí vay lại vốn vay của Chính phủ </t>
  </si>
  <si>
    <t xml:space="preserve">  + Chương trình mở rộng qui mô vệ sinh và nước sạch nông thôn dựa trên kết quả</t>
  </si>
  <si>
    <t>Chi bổ sung quỹ dự trữ tài chính</t>
  </si>
  <si>
    <t>V</t>
  </si>
  <si>
    <t>Dự phòng ngân sách</t>
  </si>
  <si>
    <t>CHI CÁC CHƯƠNG TRÌNH MỤC TIÊU</t>
  </si>
  <si>
    <t>Chi thực hiện Chương trình mục tiêu quốc gia</t>
  </si>
  <si>
    <t>Chương trình giảm nghèo bền vững</t>
  </si>
  <si>
    <t>Dự án 1: Chương trình 30a</t>
  </si>
  <si>
    <t xml:space="preserve"> - Tiểu dự án 3:  Hỗ trợ phát triển sản xuất đa dạng hóa sinh kế và nhân rộng mô hình giảm nghèo</t>
  </si>
  <si>
    <t xml:space="preserve">  - Tiểu dự án 4:  Hỗ trợ lao động thuộc hộ nghèo, cận nghèo, hộ đồng bào dân tộc thiểu số đi làm việc ở nước ngoài có thời hạn</t>
  </si>
  <si>
    <t>Dự án 2: Chương trình 135</t>
  </si>
  <si>
    <t xml:space="preserve"> - Tiểu dự án 2: Hỗ trợ phát triển sản xuất, đa dạng hóa sinh kế và nhân rộng mô hình giảm nghèo các xã ĐBKK, xã biên giới; các thôn, bản ĐBKK</t>
  </si>
  <si>
    <t xml:space="preserve"> - Tiểu dự án 3: Nâng cao năng lực cho cộng đồng và cán bộ cơ sở các xã đặc biệt khó khăn, xã biên giới; các thôn, bản ĐBKK</t>
  </si>
  <si>
    <t>Dự án 3: Hỗ trợ phát triển sản xuất, đa dạng hóa sinh kế và nhân rộng mô hình giảm nghèo trên địa bàn các xã ngoài Chương trình 30a và Chương trình 135</t>
  </si>
  <si>
    <t>Dự án 4: Truyền thông và giảm nghèo về thông tin</t>
  </si>
  <si>
    <t>Dự án 5: Nâng cao năng lực và giám sát, đánh giá thực hiện Chương trình</t>
  </si>
  <si>
    <t>Chương trình xây dựng nông thôn mới</t>
  </si>
  <si>
    <t>Chi đầu tư để thực hiện các chương trình mục tiêu, nhiệm vụ</t>
  </si>
  <si>
    <t>Đầu tư các dự án từ nguồn vốn nước ngoài</t>
  </si>
  <si>
    <t>Đầu tư các dự án từ nguồn vốn trong nước</t>
  </si>
  <si>
    <t>2.1</t>
  </si>
  <si>
    <t>Đầu tư theo ngành, lĩnh vực và các chương trình mục tiêu</t>
  </si>
  <si>
    <t>2.2</t>
  </si>
  <si>
    <t>Chi từ nguồn hỗ trợ thực hiện các chế độ, chính sách theo qui định (vốn sự nghiệp)</t>
  </si>
  <si>
    <t>Kinh phí TH Đề án Sắp xếp ổn định dân cư, PTKTXH, đảm bảo QPAN huyện Mường Nhé</t>
  </si>
  <si>
    <t>Đề án PT KTXH vùng dân tộc rất ít người (DT Cống)</t>
  </si>
  <si>
    <t>Kinh phí thực hiện chính sách trợ giúp pháp lý theo Quyết định 32/2016/QĐ-TTg</t>
  </si>
  <si>
    <t>Hỗ trợ Hội văn học nghệ thuật và Hội nhà báo</t>
  </si>
  <si>
    <t>Chương trình mục tiêu giáo dục nghề nghiệp - việc làm và ATLĐ</t>
  </si>
  <si>
    <t xml:space="preserve"> - DA đổi mới và nâng cao chất lượng giáo dục nghề nghiệp</t>
  </si>
  <si>
    <t xml:space="preserve"> - DA tăng cường an toàn vệ sinh lao động</t>
  </si>
  <si>
    <t xml:space="preserve"> - DA hỗ trợ thực hiện các mục tiêu quốc gia về bình đẳng giới</t>
  </si>
  <si>
    <t xml:space="preserve"> - DA phát triển hệ thống dịch vụ hỗ trợ người cai nghiện ma túy, người bán dâm và nạn nhân bị mua bán</t>
  </si>
  <si>
    <t>Chương trình mục tiêu Y tế - Dân số</t>
  </si>
  <si>
    <t>Chương trình mục tiêu phát triển văn hóa</t>
  </si>
  <si>
    <t xml:space="preserve"> - DA bảo tồn và phát huy giá trị di sản văn hóa</t>
  </si>
  <si>
    <t xml:space="preserve"> - DA tăng cường đầu tư xây dựng, phát triển hệ thống thiết chế văn hóa</t>
  </si>
  <si>
    <t xml:space="preserve"> - Phòng chống tội phạm </t>
  </si>
  <si>
    <t xml:space="preserve"> - Phòng chống ma túy</t>
  </si>
  <si>
    <t>Chương trình mục tiêu phát triển lâm nghiệp bền vững</t>
  </si>
  <si>
    <t>HT KP thực hiện nhiệm vụ đảm bảo trật tự ATGT</t>
  </si>
  <si>
    <t>E</t>
  </si>
  <si>
    <t xml:space="preserve">CHI CHUYỂN NGUỒN SANG NĂM SAU </t>
  </si>
  <si>
    <t>Biểu mẫu số 41 - NĐ 31/2017/NĐ-CP</t>
  </si>
  <si>
    <t>Tổng chi ngân sách địa phương</t>
  </si>
  <si>
    <t>Tổng chi cân đối ngân sách địa phương</t>
  </si>
  <si>
    <t>Chi chương trình mục tiêu</t>
  </si>
  <si>
    <t>Chi chuyển nguồn sang năm sau</t>
  </si>
  <si>
    <t>Tổng  số</t>
  </si>
  <si>
    <t>Chi đầu tư phát triển</t>
  </si>
  <si>
    <t>Chi tạo nguồn, điều chỉnh tiền lương</t>
  </si>
  <si>
    <t>Bổ sung vốn đầu tư để thực hiện các chương trình mục tiêu, nhiệm vụ</t>
  </si>
  <si>
    <t>Bổ sung vốn sự nghiệp thực hiện các chế độ, chính sách</t>
  </si>
  <si>
    <t>Bổ sung thực hiện các chương trình mục tiêu quốc gia</t>
  </si>
  <si>
    <t>Trong đó</t>
  </si>
  <si>
    <t>Chi đầu tư từ nguồn vốn trong nước</t>
  </si>
  <si>
    <t>Chi đầu tư từ nguồn thu XSKT</t>
  </si>
  <si>
    <t>Chi giáo dục, đào tạo và dạy nghề</t>
  </si>
  <si>
    <t>Chi khoa học và công nghệ</t>
  </si>
  <si>
    <t>1=2+15+19</t>
  </si>
  <si>
    <t>2=3+9+12+13+14</t>
  </si>
  <si>
    <t>3=6+7+8</t>
  </si>
  <si>
    <t>15=16+17+18</t>
  </si>
  <si>
    <t>Biểu mẫu số 39 - NĐ 31/2017/NĐ-CP</t>
  </si>
  <si>
    <t>Tổng thu NSNN trên địa bàn</t>
  </si>
  <si>
    <t>Thu NSĐP được hưởng theo phân cấp</t>
  </si>
  <si>
    <t>Chia ra</t>
  </si>
  <si>
    <t>Số bổ sung cân đối từ ngân sách cấp trên</t>
  </si>
  <si>
    <t>Số bổ sung thực hiện cải cách tiền lương</t>
  </si>
  <si>
    <t>Thu chuyển nguồn từ năm trước chuyển sang</t>
  </si>
  <si>
    <t>Tổng chi cân đối NSĐP</t>
  </si>
  <si>
    <t>Thu NSĐP hưởng 100%</t>
  </si>
  <si>
    <t>Thu phân chia</t>
  </si>
  <si>
    <t>Trong đó: Phần NSĐP được hưởng</t>
  </si>
  <si>
    <t>2=3+5</t>
  </si>
  <si>
    <t>9=2+6+7+8</t>
  </si>
  <si>
    <t>Biểu mẫu số 18 - NĐ 31/2017/NĐ-CP</t>
  </si>
  <si>
    <t xml:space="preserve">So sánh </t>
  </si>
  <si>
    <t>THU NSĐP</t>
  </si>
  <si>
    <t>CHI CÂN ĐỐI NSĐP</t>
  </si>
  <si>
    <t>C</t>
  </si>
  <si>
    <t>D</t>
  </si>
  <si>
    <t>HẠN MỨC DƯ NỢ VAY TỐI ĐA CỦA NSĐP THEO QUY ĐỊNH</t>
  </si>
  <si>
    <t>KẾ HOẠCH VAY, TRẢ NỢ GỐC</t>
  </si>
  <si>
    <t>Tổng dư nợ đầu năm</t>
  </si>
  <si>
    <t>Tỷ lệ mức dư nợ đầu kỳ so với mức dư nợ vay tối đa của ngân sách địa phương (%)</t>
  </si>
  <si>
    <t>Trái phiếu chính quyền địa phương</t>
  </si>
  <si>
    <t>Vay lại từ nguồn Chính phủ vay ngoài nước</t>
  </si>
  <si>
    <t>Vay trong nước khác</t>
  </si>
  <si>
    <t xml:space="preserve">Trả nợ gốc vay trong năm </t>
  </si>
  <si>
    <t>Theo nguồn vốn vay</t>
  </si>
  <si>
    <t>Vốn khác</t>
  </si>
  <si>
    <t>Theo nguồn trả nợ</t>
  </si>
  <si>
    <t xml:space="preserve"> Từ nguồn vay để trả nợ gốc</t>
  </si>
  <si>
    <t xml:space="preserve"> Bội thu NSĐP</t>
  </si>
  <si>
    <t xml:space="preserve"> Tăng thu, tiết kiệm chi</t>
  </si>
  <si>
    <t>Tổng mức vay trong năm</t>
  </si>
  <si>
    <t>Theo mục đích vay</t>
  </si>
  <si>
    <t>Vay để bù đắp bội chi</t>
  </si>
  <si>
    <t>Vay để trả nợ gốc</t>
  </si>
  <si>
    <t>Theo nguồn vay</t>
  </si>
  <si>
    <t>Tổng dư nợ cuối năm</t>
  </si>
  <si>
    <t>Tỷ lệ mức dư nợ cuối kỳ so với mức dư nợ vay tối đa của ngân sách địa phương (%)</t>
  </si>
  <si>
    <t>G</t>
  </si>
  <si>
    <t>TRẢ NỢ LÃI, PHÍ</t>
  </si>
  <si>
    <t>Ngân hàng Phát triển Việt Nam</t>
  </si>
  <si>
    <t>Biểu mẫu số 37-NĐ 31/2017/NĐ-CP</t>
  </si>
  <si>
    <t xml:space="preserve"> Chi giáo dục - đào tạo và dạy nghề</t>
  </si>
  <si>
    <t xml:space="preserve"> Chi khoa học và công nghệ</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</si>
  <si>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</si>
  <si>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</si>
  <si>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</si>
  <si>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</si>
  <si>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</si>
  <si>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</si>
  <si>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</si>
  <si>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</si>
  <si>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</si>
  <si>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</si>
  <si>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thường xuyên khác</t>
  </si>
  <si>
    <t>Chi giao thông</t>
  </si>
  <si>
    <t>Chi nông nghiệp, lâm nghiệp, thủy lợi, thủy sản</t>
  </si>
  <si>
    <t>Văn phòng HĐND tỉnh</t>
  </si>
  <si>
    <t>Văn phòng UBND tỉnh</t>
  </si>
  <si>
    <t>Tỉnh ủy Điện Biên</t>
  </si>
  <si>
    <t>Sở Giáo dục và Đào tạo</t>
  </si>
  <si>
    <t>Sở Xây dựng</t>
  </si>
  <si>
    <t>Sở Y tế</t>
  </si>
  <si>
    <t>Sở Văn hóa thể thao &amp; Du lịch</t>
  </si>
  <si>
    <t>Sở Giao thông vận tải</t>
  </si>
  <si>
    <t>Sở LĐ - TBXH</t>
  </si>
  <si>
    <t>Sở Kế hoạch và Đầu tư</t>
  </si>
  <si>
    <t>Sở Tài chính</t>
  </si>
  <si>
    <t>Sở Tài nguyên và Môi trường</t>
  </si>
  <si>
    <t>Quỹ phát triển đất</t>
  </si>
  <si>
    <t>Thanh tra tỉnh</t>
  </si>
  <si>
    <t>Sở Khoa học và Công nghệ</t>
  </si>
  <si>
    <t>Sở Tư pháp</t>
  </si>
  <si>
    <t>Sở Ngoại vụ</t>
  </si>
  <si>
    <t>Ban dân tộc</t>
  </si>
  <si>
    <t>Đài phát thanh truyền hình</t>
  </si>
  <si>
    <t>Trường CĐ kinh tế KTTH</t>
  </si>
  <si>
    <t>Trường Chính trị</t>
  </si>
  <si>
    <t>Trường cao đẳng nghề</t>
  </si>
  <si>
    <t>Hội nông dân</t>
  </si>
  <si>
    <t>Tỉnh đoàn</t>
  </si>
  <si>
    <t>Sở Nội vụ</t>
  </si>
  <si>
    <t>Hội cựu chiến binh</t>
  </si>
  <si>
    <t>Mặt trận tổ quốc</t>
  </si>
  <si>
    <t>Tỉnh hội phụ nữ</t>
  </si>
  <si>
    <t>Bộ chỉ huy quân sự tỉnh</t>
  </si>
  <si>
    <t>BCH Bộ đội biên phòng</t>
  </si>
  <si>
    <t>Công an tỉnh</t>
  </si>
  <si>
    <t>Sở Công thương</t>
  </si>
  <si>
    <t>Sở Thông tin và Truyền thông</t>
  </si>
  <si>
    <t>C.ty TNHH quản lý thủy nông Điện Biên</t>
  </si>
  <si>
    <t>Quỹ bảo vệ môi trường</t>
  </si>
  <si>
    <t>Quỹ Xúc tiến thương mại</t>
  </si>
  <si>
    <t>Công ty cổ phần xây dựng thủy lợi Điện Biên</t>
  </si>
  <si>
    <t>Hội chữ thập đỏ</t>
  </si>
  <si>
    <t>Hội văn học nghệ thuật</t>
  </si>
  <si>
    <t>Hội khuyến học</t>
  </si>
  <si>
    <t>Hội cựu TNXP</t>
  </si>
  <si>
    <t>Ban đại diện hội Người cao tuổi</t>
  </si>
  <si>
    <t>Hội luật gia tỉnh</t>
  </si>
  <si>
    <t>Hội Đông Y</t>
  </si>
  <si>
    <t>Hội Nhà báo</t>
  </si>
  <si>
    <t>Liên hiệp các hội KH &amp; KT</t>
  </si>
  <si>
    <t>Hội nạn nhân chất độc Da cam/Dioxin</t>
  </si>
  <si>
    <t>Liên minh các HTX</t>
  </si>
  <si>
    <t xml:space="preserve"> Hội bảo trợ người tàn tật và trẻ mồ côi</t>
  </si>
  <si>
    <t>Biểu mẫu số 34-NĐ 31/2017/NĐ-CP</t>
  </si>
  <si>
    <t>Dự toán</t>
  </si>
  <si>
    <t>TỔNG CHI NSĐP</t>
  </si>
  <si>
    <t>CHI NGÂN SÁCH CẤP TỈNH THEO LĨNH VỰC</t>
  </si>
  <si>
    <t>Chi đầu tư cho các dự án</t>
  </si>
  <si>
    <t>Chi giáo dục - đào tạo và dạy nghề</t>
  </si>
  <si>
    <t xml:space="preserve">Chi khoa học và công nghệ </t>
  </si>
  <si>
    <t>Chi trả nợ lãi các khoản do chính quyền địa phương vay</t>
  </si>
  <si>
    <t>VI</t>
  </si>
  <si>
    <t>Biểu mẫu số 15 - NĐ 31/2017/NĐ-CP</t>
  </si>
  <si>
    <t>TỔNG NGUỒN THU NSĐP</t>
  </si>
  <si>
    <t>Thu NSĐP hưởng từ các khoản thu phân chia</t>
  </si>
  <si>
    <t>Thu bổ sung từ ngân sách cấp trên</t>
  </si>
  <si>
    <t>Thu bổ sung cân đối ngân sách</t>
  </si>
  <si>
    <t>Thu bổ sung có mục tiêu</t>
  </si>
  <si>
    <t>Thu từ quỹ dự trữ tài chính</t>
  </si>
  <si>
    <t>Thu kết dư</t>
  </si>
  <si>
    <t xml:space="preserve">Chi đầu tư phát triển </t>
  </si>
  <si>
    <t xml:space="preserve">Chi bổ sung quỹ dự trữ tài chính </t>
  </si>
  <si>
    <t>Chi các chương trình mục tiêu quốc gia</t>
  </si>
  <si>
    <t>Chi từ nguồn hỗ trợ thực hiện các chế độ, chính sách theo quy định (vốn sự nghiệp)</t>
  </si>
  <si>
    <t xml:space="preserve">CHI TRẢ NỢ GỐC CỦA NSĐP </t>
  </si>
  <si>
    <t>Từ nguồn vay để trả nợ gốc</t>
  </si>
  <si>
    <t xml:space="preserve">TỔNG MỨC VAY CỦA NSĐP </t>
  </si>
  <si>
    <t>Chi sự nghiệp Khoa học, công nghệ</t>
  </si>
  <si>
    <t xml:space="preserve"> - HT thực hiện chính sách bảo vệ và phát triển đất trồng lúa</t>
  </si>
  <si>
    <t xml:space="preserve"> - HT thực hiện chính sách miễn thu thủy lợi phí</t>
  </si>
  <si>
    <t xml:space="preserve"> - Hỗ trợ BHYT cho học sinh sinh viên </t>
  </si>
  <si>
    <t xml:space="preserve">  - Hỗ trợ tiền điện cho hộ nghèo, hộ CSXH theo QĐ 28/QĐ-TTg và QĐ 60/QĐ-TTg của TTCP</t>
  </si>
  <si>
    <t xml:space="preserve"> -  KP thực hiện chính sách BTXH theo Nghị định 136</t>
  </si>
  <si>
    <t>Trong đó:</t>
  </si>
  <si>
    <t>Chi thực hiện một số chính sách an sinh xã hội khác</t>
  </si>
  <si>
    <t xml:space="preserve"> Trong đó: Ngân sách địa phương hỗ trợ (20%)</t>
  </si>
  <si>
    <t>Hỗ trợ kinh phí mua thiết bị chiếu phim và ô tô chuyên dụng</t>
  </si>
  <si>
    <t>Hỗ trợ nhà ở cho người có công với cách mạng theo Quyết định số 22/2013/QÐ-TTg</t>
  </si>
  <si>
    <t xml:space="preserve"> Chi đầu tư xây dựng cơ bản vốn trong nước </t>
  </si>
  <si>
    <t xml:space="preserve">    - Kiên cố hoá kênh mương, giao thông nông thôn, hạ tầng làng nghề, hạ tầng nuôi trồng thủy sản</t>
  </si>
  <si>
    <t xml:space="preserve">    - Chương trình đô thị miền núi phía Bắc</t>
  </si>
  <si>
    <t xml:space="preserve">    - Vay đầu tư lưới điện nông thôn (RELL II)</t>
  </si>
  <si>
    <t xml:space="preserve">    - Chương trình mở rộng quy mô vệ sinh và nước sạch nông thôn dựa trên kết quả</t>
  </si>
  <si>
    <t>Chi các chương trình mục tiêu, nhiệm vụ</t>
  </si>
  <si>
    <t>CHI BỔ SUNG CHO NGÂN SÁCH CẤP DƯỚI</t>
  </si>
  <si>
    <t>B.1</t>
  </si>
  <si>
    <t xml:space="preserve">CHI CÂN ĐỐI NGÂN SÁCH </t>
  </si>
  <si>
    <t>B.2</t>
  </si>
  <si>
    <t>CHI TỪ NGUỒN BỔ SUNG CÓ MỤC TIÊU TỪ NGÂN SÁCH TRUNG ƯƠNG ĐỂ THỰC HIỆN CÁC CHƯƠNG TRÌNH MỤC TIÊU QUỐC GIA, CHƯƠNG TRÌNH MỤC TIÊU VÀ NHIỆM VỤ KHÁC</t>
  </si>
  <si>
    <t>Đầu tư từ nguồn vốn trái phiếu Chính phủ</t>
  </si>
  <si>
    <t>662530-88491-3760-1543+22400=591136</t>
  </si>
  <si>
    <t>Chương trình mục tiêu Phát triển kinh tế - xã hội các vùng</t>
  </si>
  <si>
    <t xml:space="preserve">Chương trình mục tiêu Hỗ trợ đối ứng ODA cho địa phương </t>
  </si>
  <si>
    <t>Chương trình mục tiêu Phát triển lâm nghiệp bền vững</t>
  </si>
  <si>
    <t>Chương trình mục tiêu Tái cơ cấu kinh tế nông nghiệp và phòng chống giảm nhẹ thiên tai, ổn định đời sống dân cư</t>
  </si>
  <si>
    <t>Chương trình mục tiêu cấp điện nông thôn, miền núi và hải đảo</t>
  </si>
  <si>
    <t>Chương trình mục tiêu hỗ trợ đầu tư hạ tầng khu kinh tế cửa khẩu, khu công nghệ cao, khu công nghiệp và cụm công nghiệp, khu nông nghiệp ứng dụng công nghệ cao</t>
  </si>
  <si>
    <t>Chương trình mục tiêu Đầu tư phát triển hệ thống y tế địa phương</t>
  </si>
  <si>
    <t xml:space="preserve">Chương trình mục tiêu Phát triển văn hóa </t>
  </si>
  <si>
    <t>Chương trình mục tiêu Quốc phòng an ninh trên địa bàn trọng điểm</t>
  </si>
  <si>
    <t>Đơn vị: Triệu đồng.</t>
  </si>
  <si>
    <t>- Thuế giá trị gia tăng</t>
  </si>
  <si>
    <t>- Thuế thu nhập doanh nghiệp</t>
  </si>
  <si>
    <t>- Thuế tiêu thụ đặc biệt hàng hóa, dịch vụ trong nước</t>
  </si>
  <si>
    <t>I- Thu nội địa</t>
  </si>
  <si>
    <t xml:space="preserve">Bao gồm </t>
  </si>
  <si>
    <t>II- Thu từ hoạt động xuất nhập khẩu</t>
  </si>
  <si>
    <t>1. Thu từ khu vực DNNN do trung ương quản lý</t>
  </si>
  <si>
    <t>2. Thu từ khu vực DNNN do địa phương quản lý</t>
  </si>
  <si>
    <t>3.Thu từ doanh nghiệp có vốn đầu tư nước ngoài</t>
  </si>
  <si>
    <t>4.Thu từ khu vực CTN ngoài quốc doanh</t>
  </si>
  <si>
    <t>5. Lệ phí trước bạ</t>
  </si>
  <si>
    <t>6.Thuế sử dụng đất phi nông nghiệp/nhà đất</t>
  </si>
  <si>
    <t>7. Thuế thu nhập cá nhân</t>
  </si>
  <si>
    <t>8.Thuế bảo vệ môi trường</t>
  </si>
  <si>
    <t xml:space="preserve">9.Thu phí và lệ phí </t>
  </si>
  <si>
    <t>10.Thu cấp quyền khai thác khoáng sản</t>
  </si>
  <si>
    <t>11.Thu tiền sử dụng đất</t>
  </si>
  <si>
    <t>12.Thu tiền cho thuê đất, thuê mặt nước</t>
  </si>
  <si>
    <t>13.Thu tiền cho thuê nhà, bán nhà thuộc sở hữu NN</t>
  </si>
  <si>
    <t>14.Thu khác ngân sách</t>
  </si>
  <si>
    <t>15.Thu từ quỹ đất công ích và thu hoa lợi công sản</t>
  </si>
  <si>
    <t>16.Thu xổ số kiến thiết</t>
  </si>
  <si>
    <t>1. Thuế giá trị gia tăng thu từ hàng hóa nhập khẩu</t>
  </si>
  <si>
    <t>2. Thuế xuất khẩu</t>
  </si>
  <si>
    <t>3. Thuế nhập khẩu</t>
  </si>
  <si>
    <t>4. Thuế tiêu thụ đặc biệt từ hàng hóa nhập khẩu</t>
  </si>
  <si>
    <t>5. Thuế bảo vệ môi trường thu từ hàng hóa nhập khẩu</t>
  </si>
  <si>
    <t>6. Thu khác</t>
  </si>
  <si>
    <t>Biểu mẫu số 32 - NĐ 31/2017/NĐ-CP</t>
  </si>
  <si>
    <t>Ngân sách địa phương</t>
  </si>
  <si>
    <t>1=2+3</t>
  </si>
  <si>
    <t xml:space="preserve">Tổng số </t>
  </si>
  <si>
    <t>Chi Giáo dục - Đào tạo và dạy nghề</t>
  </si>
  <si>
    <t>So sánh (1)</t>
  </si>
  <si>
    <t>Chi chương trình MTQG</t>
  </si>
  <si>
    <t>CHI CHUYỂN NGUỒN SANG NGÂN SÁCH NĂM SAU</t>
  </si>
  <si>
    <t>+</t>
  </si>
  <si>
    <t>Biểu mẫu số 35 - NĐ 31/2017/NĐ-CP</t>
  </si>
  <si>
    <t>Chi trả nợ lãi do Chính quyền địa phương vay</t>
  </si>
  <si>
    <t xml:space="preserve">Chi dự phòng ngân sách </t>
  </si>
  <si>
    <t xml:space="preserve">CHI TRẢ NỢ LÃI CÁC KHOẢN DO CHÍNH QUYỀN ĐỊA PHƯƠNG VAY </t>
  </si>
  <si>
    <t>CHI DỰ PHÒNG NGÂN SÁCH</t>
  </si>
  <si>
    <t>CHI TẠO NGUỒN, ĐIỀU CHỈNH TIỀN LƯƠNG</t>
  </si>
  <si>
    <t>CHI BỔ SUNG CÓ MỤC TIÊU CHO NGÂN SÁCH CẤP DƯỚI</t>
  </si>
  <si>
    <t>VII</t>
  </si>
  <si>
    <t>Biểu mẫu số 42 - NĐ 31/2017/NĐ-CP</t>
  </si>
  <si>
    <t>Tổng</t>
  </si>
  <si>
    <t>Bổ sung vốn sự nghiệp thực hiện các chế độ, chính sách, nhiệm vụ</t>
  </si>
  <si>
    <t>1 = 2+3+4</t>
  </si>
  <si>
    <t>Kinh phí Hội văn học nghệ thuật, Hội nhà báo năm 2017</t>
  </si>
  <si>
    <t>Biểu mẫu số 33 - NĐ 31/2017/NĐ-CP</t>
  </si>
  <si>
    <t>Ngân sách cấp tỉnh</t>
  </si>
  <si>
    <t>Ngân sách huyện</t>
  </si>
  <si>
    <t xml:space="preserve">TỔNG CHI NSĐP </t>
  </si>
  <si>
    <t>Chương trình MTQG Giảm nghèo bền vững</t>
  </si>
  <si>
    <t>Vốn đầu tư</t>
  </si>
  <si>
    <t>Vốn sự nghiệp</t>
  </si>
  <si>
    <t>Chương trình MTQG Nông thôn mới</t>
  </si>
  <si>
    <t>1.1</t>
  </si>
  <si>
    <t>1.2</t>
  </si>
  <si>
    <t>Biểu mẫu số 30 - NĐ 31/2017/NĐ-CP</t>
  </si>
  <si>
    <t>4=3-2</t>
  </si>
  <si>
    <t>5=3/2</t>
  </si>
  <si>
    <t>6=3/1</t>
  </si>
  <si>
    <t>NGÂN SÁCH CẤP TỈNH</t>
  </si>
  <si>
    <t>Nguồn thu ngân sách</t>
  </si>
  <si>
    <t>Thu ngân sách được hưởng theo phân cấp</t>
  </si>
  <si>
    <t>Thu từ nguồn năm trước chuyển sang, tăng thu</t>
  </si>
  <si>
    <t>Chi ngân sách</t>
  </si>
  <si>
    <t>Chi thuộc nhiệm vụ của ngân sách cấp tỉnh</t>
  </si>
  <si>
    <t>ct</t>
  </si>
  <si>
    <t>Chi bổ sung cho ngân sách cấp dưới</t>
  </si>
  <si>
    <t>Chi bổ sung cân đối ngân sách</t>
  </si>
  <si>
    <t>Chi bổ sung có mục tiêu</t>
  </si>
  <si>
    <t xml:space="preserve">NGÂN SÁCH HUYỆN </t>
  </si>
  <si>
    <t>chuẩn</t>
  </si>
  <si>
    <t>Chi thuộc nhiệm vụ của ngân sách cấp huyện</t>
  </si>
  <si>
    <t xml:space="preserve">Chi bổ sung cho ngân sách cấp dưới </t>
  </si>
  <si>
    <t>Vốn trong nước</t>
  </si>
  <si>
    <t>Ước thực hiện so với dự toán 2017</t>
  </si>
  <si>
    <t>Biểu mẫu số 38 - NĐ 31/2017/NĐ-CP</t>
  </si>
  <si>
    <t>Chương trình mục tiêu quốc gia Giảm nghèo bền vững</t>
  </si>
  <si>
    <t>Chương trình mục tiêu quốc gia Nông thôn mới</t>
  </si>
  <si>
    <t>Đầu tư phát triển</t>
  </si>
  <si>
    <t>Kinh phí sự nghiệp</t>
  </si>
  <si>
    <t>Vốn nước ngoài</t>
  </si>
  <si>
    <t>2=5+12</t>
  </si>
  <si>
    <t>3=8+15</t>
  </si>
  <si>
    <t>4=5+8</t>
  </si>
  <si>
    <t>5=6+7</t>
  </si>
  <si>
    <t>8=9+10</t>
  </si>
  <si>
    <t>11=12+15</t>
  </si>
  <si>
    <t>12=13+14</t>
  </si>
  <si>
    <t>15=16+17</t>
  </si>
  <si>
    <t>Sở Lao động Thương binh và xã hội</t>
  </si>
  <si>
    <t>Sở Nông nghiệp và phát triển nông thôn</t>
  </si>
  <si>
    <t>Ban Dân tộc tỉnh</t>
  </si>
  <si>
    <t>Sở Thông tin và truyền thông</t>
  </si>
  <si>
    <t>Sở Giáo dục và đào tạo</t>
  </si>
  <si>
    <t>Ủy ban mặt trận tổ quốc</t>
  </si>
  <si>
    <t>Hội Nông dân tỉnh</t>
  </si>
  <si>
    <t>Hội Liên hiệp phụ nữ tỉnh</t>
  </si>
  <si>
    <t>Ngân sách cấp huyện</t>
  </si>
  <si>
    <t xml:space="preserve">BỘI THU NSĐP </t>
  </si>
  <si>
    <t>Từ nguồn bội thu</t>
  </si>
  <si>
    <t>Trong đó: - Thu phạt VPHC, tịch thu khác do các cơ quan trung ương thực hiện</t>
  </si>
  <si>
    <t>Chi tạo nguồn điều chỉnh tiền lương</t>
  </si>
  <si>
    <t xml:space="preserve"> - DA phát triển thị trường lao động và việc làm</t>
  </si>
  <si>
    <t xml:space="preserve"> - DA phát triển hệ thống bảo vệ trẻ em</t>
  </si>
  <si>
    <t>Chương trình mục tiêu đảm bảo trật tự ATGT, phòng cháy chữa cháy, phòng chống tội phạm và ma túy</t>
  </si>
  <si>
    <t>BỘI THU NSĐP</t>
  </si>
  <si>
    <t>CTMTQG Nông thôn mới</t>
  </si>
  <si>
    <t>CTMTQG giảm nghèo bền vững</t>
  </si>
  <si>
    <t>TỔNG THU NGÂN SÁCH NHÀ NƯỚC</t>
  </si>
  <si>
    <t>Chương trình mục tiêu phát triển hệ thống trợ giúp xã hội</t>
  </si>
  <si>
    <t xml:space="preserve"> - Chi phí Ban chỉ đạo</t>
  </si>
  <si>
    <t>CHI BỔ SUNG  QUỸ DỰ TRỮ TÀI CHÍNH</t>
  </si>
  <si>
    <t xml:space="preserve"> Trong đó: -  Hỗ trợ học sinh DT rất ít người (QĐ 57)</t>
  </si>
  <si>
    <t xml:space="preserve"> - Vốn hỗ trợ sản xuất nông nghiệp</t>
  </si>
  <si>
    <t xml:space="preserve"> - Tiểu dự án 1: Đầu tư cơ sở hạ tầng xã đặc biệt khó khăn</t>
  </si>
  <si>
    <t xml:space="preserve"> - Tiểu dự án 1: Hỗ trợ đầu tư cơ sở hạ tầng cho các xã ĐBKK, xã biên giới; các thôn, bản ĐBKK </t>
  </si>
  <si>
    <t>Bội thu ngân sách địa phương</t>
  </si>
  <si>
    <t xml:space="preserve"> - Chi bổ sung cân đối ngân sách</t>
  </si>
  <si>
    <t xml:space="preserve"> - Chi bổ sung có mục tiêu</t>
  </si>
  <si>
    <t xml:space="preserve"> - Thu bổ sung cân đối ngân sách</t>
  </si>
  <si>
    <t xml:space="preserve"> - Thu bổ sung có mục tiêu</t>
  </si>
  <si>
    <t>Chi đầu tư phát triển (1)</t>
  </si>
  <si>
    <t>Chi cân đối</t>
  </si>
  <si>
    <t>Chi sự nghiệp môi trường</t>
  </si>
  <si>
    <t xml:space="preserve"> - Bổ sung vốn cho Quỹ phát triển đất từ nguồn thu tiền sử dụng đất</t>
  </si>
  <si>
    <t>Chi mục tiêu, nhiệm vụ khác (vốn sự nghiệp)</t>
  </si>
  <si>
    <t>Ước thực hiện năm 2018</t>
  </si>
  <si>
    <t>Bổ sung thực hiện các chính sách tiền lương theo quy định hiện hành</t>
  </si>
  <si>
    <t>Kinh phí hoàn thiện, hiện đại hóa hồ sơ bản đồ, địa giới hành chính và xây dựng cơ sở dữ liệu về địa giới hành chính</t>
  </si>
  <si>
    <t>HT kinh phí thực hiện nhiệm vụ đảm bảo trật tự ATGT</t>
  </si>
  <si>
    <t>Chi từ nguồn vốn nước ngoài</t>
  </si>
  <si>
    <t>Chương trình mục tiêu Tái cơ cấu kinh tế nông nghiệp, phòng chống giảm nhẹ thiêu tai, ổn định đời sống dân cư</t>
  </si>
  <si>
    <t>Thu ủng hộ đóng góp</t>
  </si>
  <si>
    <t>1.3</t>
  </si>
  <si>
    <t>* Vốn vay</t>
  </si>
  <si>
    <t xml:space="preserve"> + Dự án Giáo dục và Đào tạo nguồn nhân lực y tế phục vụ cải cách hệ thống y tế </t>
  </si>
  <si>
    <t xml:space="preserve"> + Dự án An ninh kinh tế khu vực tiểu vùng Mê Công mở rộng </t>
  </si>
  <si>
    <t xml:space="preserve"> + Dự án nâng cao năng lực phòng chống HIV/AIDS khu vực tiểu vùng Mê Công mở rộng </t>
  </si>
  <si>
    <t xml:space="preserve"> + Chương trình mở rông qui mô vệ sinh nước sạch nông thôn theo phương thức dựa trên kết quả</t>
  </si>
  <si>
    <t>*Vốn viện trợ</t>
  </si>
  <si>
    <t xml:space="preserve"> + Chương trình hỗ trợ chính sách ngành y tế giai đoạn 2 (3)</t>
  </si>
  <si>
    <t xml:space="preserve"> + Dự án Giáo dục và Đào tạo nguồn nhân lực y tế phục vụ cải cách hệ thống y tế</t>
  </si>
  <si>
    <t xml:space="preserve"> + Tổ chức tầm nhìn thế giới</t>
  </si>
  <si>
    <t>Chương trình mục tiêu công nghệ thông tin</t>
  </si>
  <si>
    <t xml:space="preserve">Chương trình mục tiêu CTNT ứng phó BĐKH và tăng trưởng xanh </t>
  </si>
  <si>
    <t xml:space="preserve"> CÂN ĐỐI NGÂN SÁCH ĐỊA PHƯƠNG NĂM 2019</t>
  </si>
  <si>
    <t>Dự toán năm 2019</t>
  </si>
  <si>
    <t>Ghi chú: (1) Đối với các chỉ tiêu thu so sánh dự toán năm 2019 với ước thực hiện năm 2018; đối với các chỉ tiêu chi so sánh dự toán năm 2019 với dự toán năm 2018</t>
  </si>
  <si>
    <t>DỰ TOÁN CHI NGÂN SÁCH ĐỊA PHƯƠNG THEO CƠ CẤU CHI NĂM 2019</t>
  </si>
  <si>
    <t>Chi đầu tư và hỗ trợ vốn cho các doanh nghiệp cung cấp sản phẩm, dịch vụ công tích do Nhà nước đặt hàng, các tổ chức kinh tế, cá tổ chức tài chính của địa phương theo quy định của pháp luật</t>
  </si>
  <si>
    <t xml:space="preserve"> - Hỗ trợ BHYT hộ gia đình cận nghèo </t>
  </si>
  <si>
    <t xml:space="preserve"> - Hỗ trợ BHYT cựu chiến binh, thanh niên xung phong, dân công hỏa tuyến</t>
  </si>
  <si>
    <t>CTMT Giáo dục vùng núi, vùng dân tộc thiểu số, vùng khó khăn</t>
  </si>
  <si>
    <t>BỘI CHI VÀ PHƯƠNG ÁN VAY - TRẢ NỢ NGÂN SÁCH ĐỊA PHƯƠNG NĂM 2019</t>
  </si>
  <si>
    <t>Vay đô thị miền núi phía bắc</t>
  </si>
  <si>
    <t>Mở rộng quy mô vệ sinh và nước sạch nông thôn dựa trên kết quả</t>
  </si>
  <si>
    <t xml:space="preserve"> - Vốn viện trợ</t>
  </si>
  <si>
    <t>Chi từ nguồn vốn trong nước</t>
  </si>
  <si>
    <t>CÂN ĐỐI NGUỒN THU, CHI DỰ TOÁN NGÂN SÁCH CẤP TỈNH VÀ NGÂN SÁCH CẤP HUYỆN NĂM 2019</t>
  </si>
  <si>
    <t xml:space="preserve"> - Thu bổ sung thực hiện cải cách tiền lương</t>
  </si>
  <si>
    <t>Thu bổ sung cải cách tiền lương</t>
  </si>
  <si>
    <t>DỰ TOÁN CHI NGÂN SÁCH ĐỊA PHƯƠNG, CHI NGÂN SÁCH CẤP TỈNH 
VÀ CHI NGÂN SÁCH HUYỆN THEO CƠ CẤU CHI NĂM 2019</t>
  </si>
  <si>
    <t>Bao gồm: - P,LP do cơ quan NNTW thực hiện</t>
  </si>
  <si>
    <t xml:space="preserve">                 - Thu khác NSĐP hưởng</t>
  </si>
  <si>
    <t xml:space="preserve">                  + Thu khác cân đối ngân sách</t>
  </si>
  <si>
    <t>DỰ TOÁN THU NGÂN SÁCH NHÀ NƯỚC THEO LĨNH VỰC NĂM 2019</t>
  </si>
  <si>
    <t>Chi từ nguồn bổ sung có mục tiêu từ ngân sách trung ương để thực hiện các Chương trình mục tiêu quốc gia, các Chương trình mục tiêu và nhiệm vụ khác</t>
  </si>
  <si>
    <t>Chi các Chương trình mục tiêu quốc gia</t>
  </si>
  <si>
    <t>Chương trình Giảm nghèo bền vững</t>
  </si>
  <si>
    <t>Chương trình xây dựng Nông thôn mới</t>
  </si>
  <si>
    <t>Chi đầu tư để thực hiện các chương trình mục tiêu, nhiệm vụ khác</t>
  </si>
  <si>
    <t>Chi đầu tư từ nguồn vốn nước ngoài</t>
  </si>
  <si>
    <t>Chi đầu tư thực hiện các chương trình mục tiêu, nhiệm vụ khác từ nguồn vốn trong nước</t>
  </si>
  <si>
    <t>2.3</t>
  </si>
  <si>
    <t xml:space="preserve">Chi từ nguồn hỗ trợ vốn sự nghiệp thực hiện các chế độ, chính sách và một số chương trình mục tiêu theo qui định </t>
  </si>
  <si>
    <t xml:space="preserve">Chi từ nguồn vốn nước ngoài </t>
  </si>
  <si>
    <t xml:space="preserve"> - Hội văn học nghệ thuật </t>
  </si>
  <si>
    <t xml:space="preserve"> - Hội nhà báo</t>
  </si>
  <si>
    <t xml:space="preserve">            - Địa phương cấp phép</t>
  </si>
  <si>
    <t xml:space="preserve">Tr.đó:  - Trung ương cấp phép </t>
  </si>
  <si>
    <t xml:space="preserve"> - Chi thực hiện cải cách tiền lương</t>
  </si>
  <si>
    <t>DỰ TOÁN THU NGÂN SÁCH NHÀ NƯỚC TRÊN ĐỊA BÀN TỪNG HUYỆN THEO LĨNH VỰC NĂM 2019</t>
  </si>
  <si>
    <t>Tiểu dự án 3: Hỗ trợ phát triển sản xuất, đa dạng hóa sinh kế và nhân rộng mô hình giảm nghèo trên địa bàn huyện nghèo</t>
  </si>
  <si>
    <t>Tiểu dự án 4: Hỗ trợ lao động thuộc hộ nghèo, hộ cận nghèo, hộ đồng bào DTTS đi làm việc có thời hạn ở nước ngoài</t>
  </si>
  <si>
    <t>Tiểu dự án 1: Hỗ trợ đầu tư cơ sở hạ tầng cho các xã ĐBKK, xã biên giới; các thôn bản ĐBKK (duy tu, bảo dưỡng)</t>
  </si>
  <si>
    <t>Tiểu dự án 2: Hỗ trợ phát triển sản xuất, đa dạng hóa sinh kế và nhân rộng mô hình giảm nghèo các xã ĐBKK, xã biên giới; các thôn, bản ĐBKK</t>
  </si>
  <si>
    <t xml:space="preserve">    Trđ: Phát triển sản xuất, đa dạng hóa sinh kế</t>
  </si>
  <si>
    <t xml:space="preserve">    Trđ: Nhân rộng mô hình giảm nghèo</t>
  </si>
  <si>
    <t>Tiểu dự án 3: Nâng cao năng lực cho cộng đồng và cán bộ cơ sở các xã đặc biệt khó khăn, xã biên giới; các thôn, bản ĐBKK</t>
  </si>
  <si>
    <t>Phát triển sản xuất, đa dạng hóa sinh kế</t>
  </si>
  <si>
    <t>Nhân rộng mô hình giảm nghèo</t>
  </si>
  <si>
    <t>Truyền thông về giảm nghèo</t>
  </si>
  <si>
    <t>Giảm nghèo về thông tin</t>
  </si>
  <si>
    <t xml:space="preserve"> - Hỗ trợ trực tiếp cho các huyện</t>
  </si>
  <si>
    <t xml:space="preserve"> - Ưu tiên phân bổ cho xã phấn đấu đạt chuẩn Nông thôn mới</t>
  </si>
  <si>
    <t>2.4</t>
  </si>
  <si>
    <t>Đề án giảm thiểu hôn nhân cận huyết</t>
  </si>
  <si>
    <t>2.6</t>
  </si>
  <si>
    <t>2.7</t>
  </si>
  <si>
    <t>2.8</t>
  </si>
  <si>
    <t>2.9</t>
  </si>
  <si>
    <t>2.10</t>
  </si>
  <si>
    <t>2.11</t>
  </si>
  <si>
    <t xml:space="preserve"> Trđ: Phát triển hệ thống thông tin thị trường lao động</t>
  </si>
  <si>
    <t xml:space="preserve">  Trđ: Nâng cao năng lực và hiệu quả quản lý nhà nước về ATVSLĐ</t>
  </si>
  <si>
    <t xml:space="preserve">         Tuyên truyền, huấn luyện, giáo dục nâng cao nhận thức, kỹ năng và sự tuân thủ pháp luật về AT, VSLĐ</t>
  </si>
  <si>
    <t>2.12</t>
  </si>
  <si>
    <t>2.13</t>
  </si>
  <si>
    <t>Phát triển hệ thống trợ giúp xã hội</t>
  </si>
  <si>
    <t xml:space="preserve">          Trđ: Nâng cấp duy trì hoạt động tổng đài</t>
  </si>
  <si>
    <t xml:space="preserve">          Trđ: Xây dựng triển khai thực hiện kế hoạch hỗ trợ can thiệp các trường hợp xâm hai..</t>
  </si>
  <si>
    <t xml:space="preserve">          Trđ: Nâng cao năng lực quản lý</t>
  </si>
  <si>
    <t xml:space="preserve">          Trđ: Xây dựng và hoàn thiện cơ sở dữ liệu bảo vệ trẻ em</t>
  </si>
  <si>
    <t xml:space="preserve">          Trđ: Truyền thông nâng cao nhận thức</t>
  </si>
  <si>
    <t xml:space="preserve">          Tăng cường sự tham gia của phụ nữ</t>
  </si>
  <si>
    <t xml:space="preserve">           Cung cấp dịch vụ phòng chống bạo lực</t>
  </si>
  <si>
    <t xml:space="preserve">           Trđ: Phòng chống ma túy</t>
  </si>
  <si>
    <t xml:space="preserve">           Trđ: Phòng chống mại dâm</t>
  </si>
  <si>
    <t xml:space="preserve">           Trđ: Hỗ trợ nạn nhân mua bán</t>
  </si>
  <si>
    <t>2.14</t>
  </si>
  <si>
    <t>Y tế - dân số</t>
  </si>
  <si>
    <t>2.15</t>
  </si>
  <si>
    <t xml:space="preserve">           DA1: Hỗ trợ phòng chống tội phạm có tổ chức, tội phạm xuyên quốc gia</t>
  </si>
  <si>
    <t xml:space="preserve">           DA2: Đấu tranh phòng chống tội phạm xâm hại trẻ em, người chưa thành niên vi phạm pháp luật về phòng, chống bạo lực gia đình, mua bán người</t>
  </si>
  <si>
    <t xml:space="preserve">           DA1: Nâng cao năng lực phòng chống ma túy cho các lực lượng chuyên trách và năng lực xử lý về án ma túy của TAND, VKSND các cấp</t>
  </si>
  <si>
    <t xml:space="preserve">           DA2: Nâng cao hiệu quả công tác phòng ngừa, phát hiện đấu tranh, ngăn chặn hành các hành vi buôn bán tại các địa bàn trọng điểm, phức tạp</t>
  </si>
  <si>
    <t xml:space="preserve">           DA3: Nâng cao hiệu quả công tác phòng chống ma túy tại xã, phường, thị trấn</t>
  </si>
  <si>
    <t>2.16</t>
  </si>
  <si>
    <t>2.17</t>
  </si>
  <si>
    <t>2.18</t>
  </si>
  <si>
    <t>CTMT ứng phó với biến đổi khí hậu và tăng trưởng xanh</t>
  </si>
  <si>
    <t>2.19</t>
  </si>
  <si>
    <t>CTMT Công nghệ thông tin</t>
  </si>
  <si>
    <t>2.20</t>
  </si>
  <si>
    <t>DỰ TOÁN CHI NGÂN SÁCH CẤP TỈNH THEO LĨNH VỰC NĂM 2019</t>
  </si>
  <si>
    <t>Sở Văn hóa thể thao và du lịch</t>
  </si>
  <si>
    <t>Hội Cựu chiến binh tỉnh</t>
  </si>
  <si>
    <t>Nguồn vốn chưa phân bổ</t>
  </si>
  <si>
    <t>DỰ TOÁN THU, CHI NGÂN SÁCH ĐỊA PHƯƠNG VÀ SỐ BỔ SUNG CÂN ĐỐI TỪ NGÂN SÁCH CẤP TRÊN CHO NGÂN SÁCH CẤP DƯỚI NĂM 2019</t>
  </si>
  <si>
    <t>DỰ TOÁN CHI NGÂN SÁCH ĐỊA PHƯƠNG TỪNG HUYỆN NĂM 2019</t>
  </si>
  <si>
    <t>DỰ TOÁN BỔ SUNG CÓ MỤC TIÊU TỪ NGÂN SÁCH CẤP TỈNH  CHO NGÂN SÁCH TỪNG HUYỆN NĂM 2019</t>
  </si>
  <si>
    <t>DỰ TOÁN CHI CHƯƠNG TRÌNH MỤC TIÊU QUỐC GIA NGÂN SÁCH CẤP TỈNH VÀ NGÂN SÁCH CẤP HUYỆN NĂM 2019</t>
  </si>
  <si>
    <t>So với dự toán 2018</t>
  </si>
  <si>
    <t>CÁC CƠ QUAN, TỔ CHỨC</t>
  </si>
  <si>
    <t>Các cơ quan, đơn vị của tỉnh</t>
  </si>
  <si>
    <t>Quỹ phòng, chống thiên tai tỉnh</t>
  </si>
  <si>
    <t xml:space="preserve">Bảo Hiểm xã hội tỉnh </t>
  </si>
  <si>
    <t>Cục Thống kê tỉnh</t>
  </si>
  <si>
    <t>Hỗ trợ các tổ chức xã hội</t>
  </si>
  <si>
    <t>VP Đoàn ĐBQH tỉnh</t>
  </si>
  <si>
    <t>DỰ TOÁN CHI NGÂN SÁCH CẤP TỈNH CHO TỪNG CƠ QUAN, TỔ CHỨC THEO LĨNH VỰC NĂM 2019</t>
  </si>
  <si>
    <t>Hội bảo trợ người tàn tật và trẻ mồ côi, người mù</t>
  </si>
  <si>
    <t>Ghi chú: (1) Thực hiện theo báo cáo phân bổ vốn đầu tư công năm 2019 của UBND tỉnh trình HĐND tỉnh tại kỳ họp.</t>
  </si>
  <si>
    <t>Chi chương trình mục tiêu quốc gia</t>
  </si>
  <si>
    <t xml:space="preserve"> Chi thường xuyên trong cân đối</t>
  </si>
  <si>
    <t>Chi từ nguồn hỗ trợ vốn sự nghiệp thực hiện chính sách và một số CTMT theo quy định</t>
  </si>
  <si>
    <t>1=2+18+19</t>
  </si>
  <si>
    <t>Văn phòng Chương trình MTQG xây dựng NTM</t>
  </si>
  <si>
    <t>Chi nhánh ngân hàng chính sách xã hội</t>
  </si>
  <si>
    <t>Hội nạn nhân chất độc Da cam/ Dioxin</t>
  </si>
  <si>
    <t>2.5</t>
  </si>
  <si>
    <t>Sở Nông nghiệp &amp; PTNT</t>
  </si>
  <si>
    <t>Cục thi hành án</t>
  </si>
  <si>
    <t>Viện kiểm sát</t>
  </si>
  <si>
    <t>Tòa án nhân dân tinh</t>
  </si>
  <si>
    <t>Quỹ Bảo trì đường bộ tỉnh</t>
  </si>
  <si>
    <t>7=5/3</t>
  </si>
  <si>
    <t>8=6/4</t>
  </si>
  <si>
    <t xml:space="preserve"> DỰ TOÁN CHI THƯỜNG XUYÊN CỦA NGÂN SÁCH CẤP TỈNH CHO TỪNG CƠ QUAN, TỔ CHỨC THEO LĨNH VỰC NĂM 2019</t>
  </si>
  <si>
    <t xml:space="preserve">  - Hỗ trợ mua thẻ BHYT bảo trợ xã hội</t>
  </si>
  <si>
    <t xml:space="preserve"> - Chính sách đối với người có uy tín trong đồng bào dân tộc thiểu số</t>
  </si>
  <si>
    <t>Kinh phí thực hiện Quyết định số 2086/QĐ-TTg ngày 31/10/2016 của TTCP phê duyệt Đề án hỗ trợ phát triển KT-XH các dân tộc thiểu số rất ít người giai đoạn 2016-2025</t>
  </si>
  <si>
    <t>Tiểu dự án 1: Hỗ trợ đầu tư cơ sở hạ tầng các huyện nghèo (duy tu, bảo dưỡng)</t>
  </si>
  <si>
    <t xml:space="preserve"> - Vốn vay</t>
  </si>
  <si>
    <t xml:space="preserve"> + Chương trình hỗ trợ chính sách ngành y tế giai đoạn 2</t>
  </si>
  <si>
    <t>1.4</t>
  </si>
  <si>
    <t>1.5</t>
  </si>
  <si>
    <t>Viện trợ không hoàn lại của các tổ chức nước ngoài địa phương nhận trực tiếp</t>
  </si>
  <si>
    <t>Dự án viện trợ trung ương bổ sung có mục tiêu</t>
  </si>
  <si>
    <t xml:space="preserve"> - Kinh phí mua thẻ BHYT cho trẻ em dưới 6 tuổi.</t>
  </si>
  <si>
    <t xml:space="preserve"> - Kinh phí mua thẻ BHYT cho người nghèo và DTTS</t>
  </si>
  <si>
    <t xml:space="preserve">                - Hỗ trợ học sinh tiểu học, THCS,THPT bán trú, trường bán trú vùng đặc biệt khó khăn</t>
  </si>
  <si>
    <t xml:space="preserve">                - Học bổng học sinh dân tộc nội trú theo QĐ 82</t>
  </si>
  <si>
    <t xml:space="preserve">                - Hỗ trợ chi phí học tập, cấp bù miễn giảm học phí theo NĐ 86</t>
  </si>
  <si>
    <t xml:space="preserve">                - HT tiền ăn trưa cho trẻ em 3-5 tuổi</t>
  </si>
  <si>
    <t xml:space="preserve">                - Hỗ trợ học sinh khuyết tật theo Thông tư 42</t>
  </si>
  <si>
    <t xml:space="preserve">                - HT học sinh SV dân tộc thiểu số theo QĐ 66, TT 35</t>
  </si>
  <si>
    <t xml:space="preserve">                - Kinh phí thực hiện Quyết định số 53</t>
  </si>
  <si>
    <t xml:space="preserve">                - Kinh phí đào tạo quân sự xã phường theo QĐ 799</t>
  </si>
  <si>
    <t xml:space="preserve">  + Chương trình đô thị miền núi phía Bắc - thành phố Điện Biên Phủ</t>
  </si>
  <si>
    <t>Dự án hoàn thiện hiện đại hoá hồ sơ, bản đồ địa giới hành chính và xây dựng cơ sở dữ liệu địa giới hành chính</t>
  </si>
  <si>
    <t>Chương trình mục tiêu tái cơ cấu kinh tế nông nghiệp và phòng chống giảm nhẹ thiên tai, ổn định đời sống dân cư</t>
  </si>
  <si>
    <t>Trong đó: Phí bảo vệ môi trường đối với khai thác khoáng sản</t>
  </si>
  <si>
    <t xml:space="preserve">                 + Trên địa bàn các xã</t>
  </si>
  <si>
    <t xml:space="preserve">                - P,LP do cơ quan NNĐP thực hiện</t>
  </si>
  <si>
    <t>Đề án giảm thiểu tảo hôn và hôn nhân cận huyết</t>
  </si>
  <si>
    <t xml:space="preserve"> - Chương trình mục tiêu Phát triển kinh tế - xã hội các vùng</t>
  </si>
  <si>
    <t xml:space="preserve"> - Chương trình mục tiêu Hỗ trợ đối ứng ODA cho địa phương</t>
  </si>
  <si>
    <t xml:space="preserve"> - Chương trình mục tiêu Phát triển lâm nghiệp bền vững</t>
  </si>
  <si>
    <t xml:space="preserve"> - Chương trình mục tiêu Tái cơ cấu kinh tế nông nghiệp và phòng chống giảm nhẹ thiên tai, ổn định đời sống dân cư</t>
  </si>
  <si>
    <t xml:space="preserve"> - Chương trình mục tiêu cấp điện nông thôn, miền núi và hải đảo</t>
  </si>
  <si>
    <t xml:space="preserve"> - Chương trình mục tiêu Quốc phòng an ninh trên địa bàn trọng điểm</t>
  </si>
  <si>
    <t xml:space="preserve"> - Chi đầu tư xây dựng cơ bản từ nguồn vốn trong nước</t>
  </si>
  <si>
    <t xml:space="preserve"> - Chi đầu tư từ nguồn thu tiền sử dụng đất</t>
  </si>
  <si>
    <t xml:space="preserve"> - Chi đầu tư từ nguồn thu xổ số kiến thiết</t>
  </si>
  <si>
    <t xml:space="preserve"> - Chương trình 30a</t>
  </si>
  <si>
    <t xml:space="preserve"> - Chương trình 293, 275</t>
  </si>
  <si>
    <t xml:space="preserve"> - Chương trình 135</t>
  </si>
  <si>
    <t xml:space="preserve"> - Dự án 1 (Chương trình 30a)</t>
  </si>
  <si>
    <t xml:space="preserve"> - Dự án 2 (Chương trình 135)</t>
  </si>
  <si>
    <t xml:space="preserve"> - Dự án 3: Hỗ trợ phát triển sản xuất, đa dạng hóa sinh kế và nhân rộng mô hình giảm nghèo trên địa bàn các xã ngoài Chương trình 30a và Chương trình 135</t>
  </si>
  <si>
    <t xml:space="preserve"> - Dự án 4: Truyền thông và giảm nghèo về thông tin</t>
  </si>
  <si>
    <t xml:space="preserve"> - Dự án 5: Nâng cao năng lực và giám sát, đánh giá thực hiện Chương trình</t>
  </si>
  <si>
    <t xml:space="preserve">         Tr.đó: Bảo tồn di tích</t>
  </si>
  <si>
    <t xml:space="preserve">         Tr.đó: Bảo tồn lễ hội</t>
  </si>
  <si>
    <t xml:space="preserve">          Tr.đó: Cung cấp sản phẩm các xã ĐBKK</t>
  </si>
  <si>
    <t>(Kèm theo Nghị quyết số   96 /NQ-HĐND ngày  07  tháng 12 năm 2018 của HĐND tỉnh Điện Biên)</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</si>
</sst>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_-;\-* #,##0.00\ _€_-;_-* &quot;-&quot;??\ _€_-;_-@_-"/>
    <numFmt numFmtId="173" formatCode="_(* #,##0_);_(* \(#,##0\);_(* &quot;-&quot;??_);_(@_)"/>
    <numFmt numFmtId="174" formatCode="#,##0.0"/>
    <numFmt numFmtId="175" formatCode="#,##0;[Red]#,##0"/>
    <numFmt numFmtId="176" formatCode="\$#&quot;,&quot;##0\ ;\(\$#&quot;,&quot;##0\)"/>
    <numFmt numFmtId="177" formatCode="0.00_)"/>
    <numFmt numFmtId="178" formatCode="#,##0.00\ &quot;F&quot;;[Red]\-#,##0.00\ &quot;F&quot;"/>
    <numFmt numFmtId="179" formatCode="_-* #,##0\ &quot;F&quot;_-;\-* #,##0\ &quot;F&quot;_-;_-* &quot;-&quot;\ &quot;F&quot;_-;_-@_-"/>
    <numFmt numFmtId="180" formatCode="#,##0\ &quot;F&quot;;[Red]\-#,##0\ &quot;F&quot;"/>
    <numFmt numFmtId="181" formatCode="#,##0.00\ &quot;F&quot;;\-#,##0.00\ &quot;F&quot;"/>
    <numFmt numFmtId="182" formatCode="&quot;￥&quot;#,##0;&quot;￥&quot;\-#,##0"/>
    <numFmt numFmtId="183" formatCode="00.000"/>
    <numFmt numFmtId="184" formatCode="_-* #,##0_-;\-* #,##0_-;_-* &quot;-&quot;_-;_-@_-"/>
    <numFmt numFmtId="185" formatCode="_-* #,##0.00_-;\-* #,##0.00_-;_-* &quot;-&quot;??_-;_-@_-"/>
    <numFmt numFmtId="186" formatCode="_-&quot;$&quot;* #,##0_-;\-&quot;$&quot;* #,##0_-;_-&quot;$&quot;* &quot;-&quot;_-;_-@_-"/>
    <numFmt numFmtId="187" formatCode="&quot;$&quot;#,##0;[Red]\-&quot;$&quot;#,##0"/>
    <numFmt numFmtId="188" formatCode="_-&quot;$&quot;* #,##0.00_-;\-&quot;$&quot;* #,##0.00_-;_-&quot;$&quot;* &quot;-&quot;??_-;_-@_-"/>
    <numFmt numFmtId="189" formatCode="&quot;$&quot;#,##0;\-&quot;$&quot;#,##0"/>
    <numFmt numFmtId="190" formatCode="#,###;\-#,###;&quot;&quot;;_(@_)"/>
    <numFmt numFmtId="191" formatCode="###,###,###"/>
    <numFmt numFmtId="192" formatCode="###,###"/>
    <numFmt numFmtId="193" formatCode="_-&quot;€&quot;* #,##0_-;\-&quot;€&quot;* #,##0_-;_-&quot;€&quot;* &quot;-&quot;_-;_-@_-"/>
    <numFmt numFmtId="194" formatCode="&quot;\&quot;#,##0.00;[Red]&quot;\&quot;&quot;\&quot;&quot;\&quot;&quot;\&quot;&quot;\&quot;&quot;\&quot;\-#,##0.00"/>
    <numFmt numFmtId="195" formatCode="&quot;\&quot;#,##0;[Red]&quot;\&quot;&quot;\&quot;\-#,##0"/>
    <numFmt numFmtId="196" formatCode="_-* #,##0\ &quot;€&quot;_-;\-* #,##0\ &quot;€&quot;_-;_-* &quot;-&quot;\ &quot;€&quot;_-;_-@_-"/>
    <numFmt numFmtId="197" formatCode="_-* #,##0\ _F_-;\-* #,##0\ _F_-;_-* &quot;-&quot;\ _F_-;_-@_-"/>
    <numFmt numFmtId="198" formatCode="_ &quot;\&quot;* #,##0_ ;_ &quot;\&quot;* \-#,##0_ ;_ &quot;\&quot;* &quot;-&quot;_ ;_ @_ "/>
    <numFmt numFmtId="199" formatCode="_ &quot;\&quot;* #,##0.00_ ;_ &quot;\&quot;* \-#,##0.00_ ;_ &quot;\&quot;* &quot;-&quot;??_ ;_ @_ "/>
    <numFmt numFmtId="200" formatCode="_ * #,##0_ ;_ * \-#,##0_ ;_ * &quot;-&quot;_ ;_ @_ "/>
    <numFmt numFmtId="201" formatCode="_ * #,##0.00_ ;_ * \-#,##0.00_ ;_ * &quot;-&quot;??_ ;_ @_ "/>
    <numFmt numFmtId="202" formatCode="0.000"/>
    <numFmt numFmtId="203" formatCode="#,##0.0_);\(#,##0.0\)"/>
    <numFmt numFmtId="204" formatCode="_(* #,##0.0000_);_(* \(#,##0.0000\);_(* &quot;-&quot;??_);_(@_)"/>
    <numFmt numFmtId="205" formatCode="0.0%;[Red]\(0.0%\)"/>
    <numFmt numFmtId="206" formatCode="_ * #,##0.00_)&quot;£&quot;_ ;_ * \(#,##0.00\)&quot;£&quot;_ ;_ * &quot;-&quot;??_)&quot;£&quot;_ ;_ @_ "/>
    <numFmt numFmtId="207" formatCode="0.0%;\(0.0%\)"/>
    <numFmt numFmtId="208" formatCode="0.000_)"/>
    <numFmt numFmtId="209" formatCode="&quot;C&quot;#,##0.00_);\(&quot;C&quot;#,##0.00\)"/>
    <numFmt numFmtId="210" formatCode="&quot;C&quot;#,##0_);\(&quot;C&quot;#,##0\)"/>
    <numFmt numFmtId="211" formatCode="&quot;$&quot;\ \ \ \ #,##0_);\(&quot;$&quot;\ \ \ #,##0\)"/>
    <numFmt numFmtId="212" formatCode="&quot;$&quot;\ \ \ \ \ #,##0_);\(&quot;$&quot;\ \ \ \ \ #,##0\)"/>
    <numFmt numFmtId="213" formatCode="&quot;C&quot;#,##0_);[Red]\(&quot;C&quot;#,##0\)"/>
    <numFmt numFmtId="214" formatCode="#,##0_ ;[Red]\-#,##0\ "/>
    <numFmt numFmtId="215" formatCode="#,##0\ &quot;$&quot;_);[Red]\(#,##0\ &quot;$&quot;\)"/>
    <numFmt numFmtId="216" formatCode="&quot;$&quot;###,0&quot;.&quot;00_);[Red]\(&quot;$&quot;###,0&quot;.&quot;00\)"/>
    <numFmt numFmtId="217" formatCode="&quot;\&quot;#,##0;[Red]\-&quot;\&quot;#,##0"/>
    <numFmt numFmtId="218" formatCode="&quot;\&quot;#,##0.00;\-&quot;\&quot;#,##0.00"/>
    <numFmt numFmtId="219" formatCode="#,##0.000_);\(#,##0.000\)"/>
    <numFmt numFmtId="220" formatCode="#,##0\ &quot;F&quot;;\-#,##0\ &quot;F&quot;"/>
    <numFmt numFmtId="221" formatCode="_-* ###,0&quot;.&quot;00_-;\-* ###,0&quot;.&quot;00_-;_-* &quot;-&quot;??_-;_-@_-"/>
    <numFmt numFmtId="222" formatCode="&quot;£&quot;#,##0;[Red]\-&quot;£&quot;#,##0"/>
    <numFmt numFmtId="223" formatCode="_-* #,##0.0\ _F_-;\-* #,##0.0\ _F_-;_-* &quot;-&quot;??\ _F_-;_-@_-"/>
    <numFmt numFmtId="224" formatCode="0.00000000000E+00;\?"/>
    <numFmt numFmtId="225" formatCode="_-* #,##0\ &quot;DM&quot;_-;\-* #,##0\ &quot;DM&quot;_-;_-* &quot;-&quot;\ &quot;DM&quot;_-;_-@_-"/>
    <numFmt numFmtId="226" formatCode="_-* #,##0.00\ &quot;DM&quot;_-;\-* #,##0.00\ &quot;DM&quot;_-;_-* &quot;-&quot;??\ &quot;DM&quot;_-;_-@_-"/>
    <numFmt numFmtId="227" formatCode="_-* #,##0\ _€_-;\-* #,##0\ _€_-;_-* &quot;-&quot;??\ _€_-;_-@_-"/>
    <numFmt numFmtId="228" formatCode="#,##0;#,##0;&quot;-&quot;"/>
  </numFmts>
  <fonts count="164">
    <font>
      <sz val="12"/>
      <name val=".VnTime"/>
      <family val="2"/>
    </font>
    <font>
      <sz val="11"/>
      <color indexed="8"/>
      <name val="Calibri"/>
      <family val="2"/>
    </font>
    <font>
      <b/>
      <sz val="12"/>
      <name val="Times New Roman"/>
      <family val="1"/>
    </font>
    <font>
      <i/>
      <sz val="12"/>
      <name val="Times New Roman"/>
      <family val="1"/>
    </font>
    <font>
      <sz val="10"/>
      <name val="Times New Roman"/>
      <family val="1"/>
    </font>
    <font>
      <sz val="12"/>
      <name val="Times New Roman"/>
      <family val="1"/>
    </font>
    <font>
      <sz val="12"/>
      <name val=".VnArial Narrow"/>
      <family val="2"/>
    </font>
    <font>
      <sz val="14"/>
      <name val="Times New Roman"/>
      <family val="1"/>
    </font>
    <font>
      <sz val="11"/>
      <name val="Times New Roman"/>
      <family val="1"/>
    </font>
    <font>
      <sz val="10"/>
      <name val="Arial"/>
      <family val="2"/>
    </font>
    <font>
      <b/>
      <sz val="12"/>
      <name val="Arial"/>
      <family val="2"/>
    </font>
    <font>
      <sz val="12"/>
      <name val="Arial"/>
      <family val="2"/>
    </font>
    <font>
      <b/>
      <i/>
      <sz val="16"/>
      <name val="Helv"/>
      <family val="0"/>
    </font>
    <font>
      <sz val="13"/>
      <name val=".VnTime"/>
      <family val="2"/>
    </font>
    <font>
      <sz val="10"/>
      <name val=" "/>
      <family val="1"/>
    </font>
    <font>
      <sz val="14"/>
      <name val="뼻뮝"/>
      <family val="3"/>
    </font>
    <font>
      <sz val="12"/>
      <name val="바탕체"/>
      <family val="3"/>
    </font>
    <font>
      <sz val="12"/>
      <name val="뼻뮝"/>
      <family val="3"/>
    </font>
    <font>
      <sz val="11"/>
      <name val="돋움"/>
      <family val="3"/>
    </font>
    <font>
      <sz val="10"/>
      <name val="굴림체"/>
      <family val="3"/>
    </font>
    <font>
      <sz val="9"/>
      <name val="Arial"/>
      <family val="2"/>
    </font>
    <font>
      <sz val="12"/>
      <name val="Courier"/>
      <family val="3"/>
    </font>
    <font>
      <b/>
      <sz val="14"/>
      <name val="Times New Roman"/>
      <family val="1"/>
    </font>
    <font>
      <i/>
      <sz val="14"/>
      <name val="Times New Roman"/>
      <family val="1"/>
    </font>
    <font>
      <sz val="13"/>
      <name val="Times New Roman"/>
      <family val="1"/>
    </font>
    <font>
      <b/>
      <sz val="11"/>
      <name val="Times New Roman"/>
      <family val="1"/>
    </font>
    <font>
      <b/>
      <u val="single"/>
      <sz val="14"/>
      <name val="Times New Roman"/>
      <family val="1"/>
    </font>
    <font>
      <sz val="14"/>
      <name val=".VnTime"/>
      <family val="2"/>
    </font>
    <font>
      <sz val="13"/>
      <name val="VNTime"/>
      <family val="0"/>
    </font>
    <font>
      <sz val="16"/>
      <name val="Times New Roman"/>
      <family val="1"/>
    </font>
    <font>
      <b/>
      <u val="single"/>
      <sz val="12"/>
      <name val="Times New Roman"/>
      <family val="1"/>
    </font>
    <font>
      <i/>
      <sz val="13"/>
      <name val="Times New Roman"/>
      <family val="1"/>
    </font>
    <font>
      <sz val="10"/>
      <name val="VNI-Times"/>
      <family val="0"/>
    </font>
    <font>
      <sz val="12"/>
      <color indexed="8"/>
      <name val="Times New Roman"/>
      <family val="2"/>
    </font>
    <font>
      <b/>
      <i/>
      <sz val="12"/>
      <name val="Times New Roman"/>
      <family val="1"/>
    </font>
    <font>
      <b/>
      <u val="single"/>
      <sz val="12"/>
      <name val="Times New Roman h"/>
      <family val="0"/>
    </font>
    <font>
      <b/>
      <sz val="8"/>
      <name val="Times New Roman"/>
      <family val="1"/>
    </font>
    <font>
      <b/>
      <sz val="14"/>
      <name val="Times New Romanh"/>
      <family val="0"/>
    </font>
    <font>
      <sz val="12"/>
      <name val="VNI-Times"/>
      <family val="0"/>
    </font>
    <font>
      <sz val="10"/>
      <name val="?? ??"/>
      <family val="1"/>
    </font>
    <font>
      <sz val="14"/>
      <name val="??"/>
      <family val="3"/>
    </font>
    <font>
      <sz val="12"/>
      <name val="????"/>
      <family val="1"/>
    </font>
    <font>
      <sz val="12"/>
      <name val="|??¢¥¢¬¨Ï"/>
      <family val="1"/>
    </font>
    <font>
      <sz val="10"/>
      <name val="MS Sans Serif"/>
      <family val="2"/>
    </font>
    <font>
      <sz val="10"/>
      <color indexed="8"/>
      <name val="Arial"/>
      <family val="2"/>
    </font>
    <font>
      <sz val="11"/>
      <name val="VNI-Aptima"/>
      <family val="0"/>
    </font>
    <font>
      <sz val="12"/>
      <name val="???"/>
      <family val="0"/>
    </font>
    <font>
      <sz val="14"/>
      <name val="VNTime"/>
      <family val="0"/>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¹UAAA¼"/>
      <family val="3"/>
    </font>
    <font>
      <sz val="11"/>
      <name val="±¼¸²Ã¼"/>
      <family val="3"/>
    </font>
    <font>
      <sz val="8"/>
      <name val="Times New Roman"/>
      <family val="1"/>
    </font>
    <font>
      <sz val="12"/>
      <name val="Tms Rmn"/>
      <family val="0"/>
    </font>
    <font>
      <sz val="11"/>
      <name val="µ¸¿ò"/>
      <family val="0"/>
    </font>
    <font>
      <sz val="12"/>
      <name val="µ¸¿òÃ¼"/>
      <family val="3"/>
    </font>
    <font>
      <sz val="10"/>
      <name val="Helv"/>
      <family val="0"/>
    </font>
    <font>
      <b/>
      <sz val="10"/>
      <name val="Helv"/>
      <family val="0"/>
    </font>
    <font>
      <sz val="10"/>
      <name val=".VnArial"/>
      <family val="2"/>
    </font>
    <font>
      <sz val="11"/>
      <name val="Tms Rmn"/>
      <family val="0"/>
    </font>
    <font>
      <sz val="10"/>
      <name val="MS Serif"/>
      <family val="1"/>
    </font>
    <font>
      <sz val="10"/>
      <name val="Arial CE"/>
      <family val="0"/>
    </font>
    <font>
      <sz val="10"/>
      <color indexed="16"/>
      <name val="MS Serif"/>
      <family val="1"/>
    </font>
    <font>
      <sz val="8"/>
      <name val="Arial"/>
      <family val="2"/>
    </font>
    <font>
      <b/>
      <sz val="12"/>
      <color indexed="9"/>
      <name val="Tms Rmn"/>
      <family val="0"/>
    </font>
    <font>
      <b/>
      <sz val="12"/>
      <name val="Helv"/>
      <family val="0"/>
    </font>
    <font>
      <b/>
      <sz val="18"/>
      <name val="Arial"/>
      <family val="2"/>
    </font>
    <font>
      <b/>
      <sz val="8"/>
      <name val="MS Sans Serif"/>
      <family val="2"/>
    </font>
    <font>
      <b/>
      <sz val="10"/>
      <name val=".VnTime"/>
      <family val="2"/>
    </font>
    <font>
      <b/>
      <sz val="14"/>
      <name val=".VnTimeH"/>
      <family val="2"/>
    </font>
    <font>
      <b/>
      <sz val="11"/>
      <name val="Helv"/>
      <family val="0"/>
    </font>
    <font>
      <sz val="10"/>
      <name val=".VnTime"/>
      <family val="2"/>
    </font>
    <font>
      <sz val="7"/>
      <name val="Small Fonts"/>
      <family val="2"/>
    </font>
    <font>
      <b/>
      <sz val="11"/>
      <name val="Arial"/>
      <family val="2"/>
    </font>
    <font>
      <sz val="12"/>
      <name val="Helv"/>
      <family val="0"/>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amily val="0"/>
    </font>
    <font>
      <b/>
      <sz val="8"/>
      <color indexed="8"/>
      <name val="Helv"/>
      <family val="0"/>
    </font>
    <font>
      <b/>
      <sz val="13"/>
      <color indexed="8"/>
      <name val=".VnTimeH"/>
      <family val="2"/>
    </font>
    <font>
      <sz val="14"/>
      <name val="VnTime"/>
      <family val="2"/>
    </font>
    <font>
      <b/>
      <sz val="8"/>
      <name val="VN Helvetica"/>
      <family val="0"/>
    </font>
    <font>
      <b/>
      <sz val="12"/>
      <name val=".VnTime"/>
      <family val="2"/>
    </font>
    <font>
      <b/>
      <sz val="10"/>
      <name val="VN AvantGBook"/>
      <family val="0"/>
    </font>
    <font>
      <b/>
      <sz val="16"/>
      <name val=".VnTime"/>
      <family val="2"/>
    </font>
    <font>
      <sz val="9"/>
      <name val=".VnTime"/>
      <family val="2"/>
    </font>
    <font>
      <sz val="14"/>
      <name val=".VnArial"/>
      <family val="2"/>
    </font>
    <font>
      <sz val="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System"/>
      <family val="1"/>
    </font>
    <font>
      <sz val="11"/>
      <name val="–¾’©"/>
      <family val="1"/>
    </font>
    <font>
      <sz val="11"/>
      <color indexed="32"/>
      <name val="VNI-Times"/>
      <family val="0"/>
    </font>
    <font>
      <b/>
      <sz val="12"/>
      <name val="Times New Roman h"/>
      <family val="0"/>
    </font>
    <font>
      <b/>
      <sz val="12.5"/>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10"/>
      <name val="Times New Roman"/>
      <family val="1"/>
    </font>
    <font>
      <i/>
      <sz val="12"/>
      <color indexed="10"/>
      <name val="Times New Roman"/>
      <family val="1"/>
    </font>
    <font>
      <sz val="12"/>
      <color indexed="10"/>
      <name val="Times New Roman"/>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sz val="12"/>
      <color theme="1"/>
      <name val="Times New Roman"/>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
      <i/>
      <sz val="12"/>
      <color rgb="FFFF0000"/>
      <name val="Times New Roman"/>
      <family val="1"/>
    </font>
    <font>
      <sz val="12"/>
      <color rgb="FFFF0000"/>
      <name val="Times New Roman"/>
      <family val="2"/>
    </font>
    <font>
      <b/>
      <sz val="12"/>
      <color rgb="FFFF0000"/>
      <name val="Times New Roman"/>
      <family val="1"/>
    </font>
  </fonts>
  <fills count="70">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double"/>
      <top>
        <color indexed="63"/>
      </top>
      <bottom>
        <color indexed="6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color indexed="63"/>
      </left>
      <right style="thin"/>
      <top style="hair"/>
      <bottom style="hair"/>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style="thin"/>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style="thin"/>
      <top style="hair"/>
      <bottom>
        <color indexed="63"/>
      </bottom>
    </border>
    <border>
      <left style="thin"/>
      <right style="thin"/>
      <top style="hair"/>
      <bottom style="thin"/>
    </border>
    <border>
      <left>
        <color indexed="63"/>
      </left>
      <right style="thin"/>
      <top>
        <color indexed="63"/>
      </top>
      <bottom>
        <color indexed="63"/>
      </bottom>
    </border>
    <border>
      <left style="medium"/>
      <right style="thin"/>
      <top>
        <color indexed="63"/>
      </top>
      <bottom>
        <color indexed="63"/>
      </bottom>
    </border>
    <border>
      <left>
        <color indexed="63"/>
      </left>
      <right style="thin"/>
      <top style="hair"/>
      <bottom style="thin"/>
    </border>
    <border>
      <left>
        <color indexed="63"/>
      </left>
      <right style="thin"/>
      <top style="thin"/>
      <bottom style="hair"/>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s>
  <cellStyleXfs count="458">
    <xf numFmtId="0" fontId="0" fillId="0" borderId="0">
      <alignment/>
      <protection/>
    </xf>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3" fontId="38" fillId="0" borderId="0" applyFont="0" applyFill="0" applyBorder="0" applyAlignment="0" applyProtection="0"/>
    <xf numFmtId="0" fontId="0" fillId="0" borderId="0" applyNumberFormat="0" applyFill="0" applyBorder="0" applyAlignment="0" applyProtection="0"/>
    <xf numFmtId="0" fontId="7" fillId="0" borderId="0">
      <alignment/>
      <protection/>
    </xf>
    <xf numFmtId="194" fontId="9" fillId="0" borderId="0" applyFont="0" applyFill="0" applyBorder="0" applyAlignment="0" applyProtection="0"/>
    <xf numFmtId="0" fontId="39" fillId="0" borderId="0" applyFont="0" applyFill="0" applyBorder="0" applyAlignment="0" applyProtection="0"/>
    <xf numFmtId="195" fontId="9" fillId="0" borderId="0" applyFont="0" applyFill="0" applyBorder="0" applyAlignment="0" applyProtection="0"/>
    <xf numFmtId="0" fontId="9" fillId="0" borderId="0" applyNumberFormat="0" applyFill="0" applyBorder="0" applyAlignment="0" applyProtection="0"/>
    <xf numFmtId="40" fontId="40" fillId="0" borderId="0" applyFont="0" applyFill="0" applyBorder="0" applyAlignment="0" applyProtection="0"/>
    <xf numFmtId="38" fontId="40" fillId="0" borderId="0" applyFont="0" applyFill="0" applyBorder="0" applyAlignment="0" applyProtection="0"/>
    <xf numFmtId="184" fontId="41" fillId="0" borderId="0" applyFont="0" applyFill="0" applyBorder="0" applyAlignment="0" applyProtection="0"/>
    <xf numFmtId="185" fontId="41" fillId="0" borderId="0" applyFont="0" applyFill="0" applyBorder="0" applyAlignment="0" applyProtection="0"/>
    <xf numFmtId="165" fontId="21" fillId="0" borderId="0" applyFont="0" applyFill="0" applyBorder="0" applyAlignment="0" applyProtection="0"/>
    <xf numFmtId="0" fontId="5" fillId="0" borderId="0">
      <alignment vertical="center"/>
      <protection/>
    </xf>
    <xf numFmtId="0" fontId="9" fillId="0" borderId="0" applyFont="0" applyFill="0" applyBorder="0" applyAlignment="0" applyProtection="0"/>
    <xf numFmtId="0" fontId="9" fillId="0" borderId="0" applyFont="0" applyFill="0" applyBorder="0" applyAlignment="0" applyProtection="0"/>
    <xf numFmtId="0" fontId="42" fillId="0" borderId="0">
      <alignment/>
      <protection/>
    </xf>
    <xf numFmtId="0" fontId="9" fillId="0" borderId="0" applyNumberForma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0" fontId="43" fillId="0" borderId="0">
      <alignment/>
      <protection/>
    </xf>
    <xf numFmtId="0" fontId="43" fillId="0" borderId="0">
      <alignment/>
      <protection/>
    </xf>
    <xf numFmtId="197" fontId="0" fillId="0" borderId="0" applyFont="0" applyFill="0" applyBorder="0" applyAlignment="0" applyProtection="0"/>
    <xf numFmtId="0" fontId="44" fillId="0" borderId="0">
      <alignment vertical="top"/>
      <protection/>
    </xf>
    <xf numFmtId="0" fontId="44" fillId="0" borderId="0">
      <alignment vertical="top"/>
      <protection/>
    </xf>
    <xf numFmtId="196" fontId="32" fillId="0" borderId="0" applyFont="0" applyFill="0" applyBorder="0" applyAlignment="0" applyProtection="0"/>
    <xf numFmtId="193" fontId="38" fillId="0" borderId="0" applyFont="0" applyFill="0" applyBorder="0" applyAlignment="0" applyProtection="0"/>
    <xf numFmtId="185" fontId="38" fillId="0" borderId="0" applyFont="0" applyFill="0" applyBorder="0" applyAlignment="0" applyProtection="0"/>
    <xf numFmtId="0" fontId="32" fillId="0" borderId="0" applyFont="0" applyFill="0" applyBorder="0" applyAlignment="0" applyProtection="0"/>
    <xf numFmtId="184" fontId="38" fillId="0" borderId="0" applyFont="0" applyFill="0" applyBorder="0" applyAlignment="0" applyProtection="0"/>
    <xf numFmtId="196" fontId="32" fillId="0" borderId="0" applyFont="0" applyFill="0" applyBorder="0" applyAlignment="0" applyProtection="0"/>
    <xf numFmtId="0" fontId="32" fillId="0" borderId="0" applyFont="0" applyFill="0" applyBorder="0" applyAlignment="0" applyProtection="0"/>
    <xf numFmtId="185" fontId="38" fillId="0" borderId="0" applyFont="0" applyFill="0" applyBorder="0" applyAlignment="0" applyProtection="0"/>
    <xf numFmtId="197" fontId="32" fillId="0" borderId="0" applyFont="0" applyFill="0" applyBorder="0" applyAlignment="0" applyProtection="0"/>
    <xf numFmtId="184" fontId="38" fillId="0" borderId="0" applyFont="0" applyFill="0" applyBorder="0" applyAlignment="0" applyProtection="0"/>
    <xf numFmtId="185" fontId="38" fillId="0" borderId="0" applyFont="0" applyFill="0" applyBorder="0" applyAlignment="0" applyProtection="0"/>
    <xf numFmtId="197" fontId="32" fillId="0" borderId="0" applyFont="0" applyFill="0" applyBorder="0" applyAlignment="0" applyProtection="0"/>
    <xf numFmtId="0" fontId="32" fillId="0" borderId="0" applyFont="0" applyFill="0" applyBorder="0" applyAlignment="0" applyProtection="0"/>
    <xf numFmtId="184" fontId="38" fillId="0" borderId="0" applyFont="0" applyFill="0" applyBorder="0" applyAlignment="0" applyProtection="0"/>
    <xf numFmtId="193" fontId="38" fillId="0" borderId="0" applyFont="0" applyFill="0" applyBorder="0" applyAlignment="0" applyProtection="0"/>
    <xf numFmtId="0" fontId="45" fillId="0" borderId="0">
      <alignment/>
      <protection/>
    </xf>
    <xf numFmtId="184" fontId="38" fillId="0" borderId="0" applyFont="0" applyFill="0" applyBorder="0" applyAlignment="0" applyProtection="0"/>
    <xf numFmtId="197" fontId="32" fillId="0" borderId="0" applyFont="0" applyFill="0" applyBorder="0" applyAlignment="0" applyProtection="0"/>
    <xf numFmtId="0" fontId="32" fillId="0" borderId="0" applyFont="0" applyFill="0" applyBorder="0" applyAlignment="0" applyProtection="0"/>
    <xf numFmtId="193" fontId="38" fillId="0" borderId="0" applyFont="0" applyFill="0" applyBorder="0" applyAlignment="0" applyProtection="0"/>
    <xf numFmtId="185" fontId="38" fillId="0" borderId="0" applyFont="0" applyFill="0" applyBorder="0" applyAlignment="0" applyProtection="0"/>
    <xf numFmtId="198" fontId="46" fillId="0" borderId="0" applyFont="0" applyFill="0" applyBorder="0" applyAlignment="0" applyProtection="0"/>
    <xf numFmtId="0" fontId="9" fillId="0" borderId="0">
      <alignment/>
      <protection/>
    </xf>
    <xf numFmtId="0" fontId="9" fillId="0" borderId="0">
      <alignment/>
      <protection/>
    </xf>
    <xf numFmtId="1" fontId="47" fillId="0" borderId="1" applyBorder="0" applyAlignment="0">
      <protection/>
    </xf>
    <xf numFmtId="198" fontId="46" fillId="0" borderId="0" applyFont="0" applyFill="0" applyBorder="0" applyAlignment="0" applyProtection="0"/>
    <xf numFmtId="198" fontId="46" fillId="0" borderId="0" applyFont="0" applyFill="0" applyBorder="0" applyAlignment="0" applyProtection="0"/>
    <xf numFmtId="198" fontId="46" fillId="0" borderId="0" applyFont="0" applyFill="0" applyBorder="0" applyAlignment="0" applyProtection="0"/>
    <xf numFmtId="198" fontId="46" fillId="0" borderId="0" applyFont="0" applyFill="0" applyBorder="0" applyAlignment="0" applyProtection="0"/>
    <xf numFmtId="9" fontId="48" fillId="0" borderId="0" applyFont="0" applyFill="0" applyBorder="0" applyAlignment="0" applyProtection="0"/>
    <xf numFmtId="0" fontId="49" fillId="2" borderId="0">
      <alignment/>
      <protection/>
    </xf>
    <xf numFmtId="0" fontId="0" fillId="0" borderId="0">
      <alignment/>
      <protection/>
    </xf>
    <xf numFmtId="0" fontId="141" fillId="3" borderId="0" applyNumberFormat="0" applyBorder="0" applyAlignment="0" applyProtection="0"/>
    <xf numFmtId="0" fontId="141" fillId="4" borderId="0" applyNumberFormat="0" applyBorder="0" applyAlignment="0" applyProtection="0"/>
    <xf numFmtId="0" fontId="141" fillId="5" borderId="0" applyNumberFormat="0" applyBorder="0" applyAlignment="0" applyProtection="0"/>
    <xf numFmtId="0" fontId="141" fillId="6" borderId="0" applyNumberFormat="0" applyBorder="0" applyAlignment="0" applyProtection="0"/>
    <xf numFmtId="0" fontId="141" fillId="7" borderId="0" applyNumberFormat="0" applyBorder="0" applyAlignment="0" applyProtection="0"/>
    <xf numFmtId="0" fontId="14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0" fillId="2" borderId="0">
      <alignment/>
      <protection/>
    </xf>
    <xf numFmtId="0" fontId="51" fillId="0" borderId="0">
      <alignment wrapText="1"/>
      <protection/>
    </xf>
    <xf numFmtId="0" fontId="141" fillId="15" borderId="0" applyNumberFormat="0" applyBorder="0" applyAlignment="0" applyProtection="0"/>
    <xf numFmtId="0" fontId="141" fillId="16"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1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2"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74" fillId="0" borderId="0">
      <alignment/>
      <protection/>
    </xf>
    <xf numFmtId="0" fontId="142" fillId="25" borderId="0" applyNumberFormat="0" applyBorder="0" applyAlignment="0" applyProtection="0"/>
    <xf numFmtId="0" fontId="142" fillId="26" borderId="0" applyNumberFormat="0" applyBorder="0" applyAlignment="0" applyProtection="0"/>
    <xf numFmtId="0" fontId="142" fillId="27" borderId="0" applyNumberFormat="0" applyBorder="0" applyAlignment="0" applyProtection="0"/>
    <xf numFmtId="0" fontId="142" fillId="28" borderId="0" applyNumberFormat="0" applyBorder="0" applyAlignment="0" applyProtection="0"/>
    <xf numFmtId="0" fontId="142" fillId="29" borderId="0" applyNumberFormat="0" applyBorder="0" applyAlignment="0" applyProtection="0"/>
    <xf numFmtId="0" fontId="142" fillId="30" borderId="0" applyNumberFormat="0" applyBorder="0" applyAlignment="0" applyProtection="0"/>
    <xf numFmtId="0" fontId="99" fillId="3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32" borderId="0" applyNumberFormat="0" applyBorder="0" applyAlignment="0" applyProtection="0"/>
    <xf numFmtId="0" fontId="99" fillId="33" borderId="0" applyNumberFormat="0" applyBorder="0" applyAlignment="0" applyProtection="0"/>
    <xf numFmtId="0" fontId="99" fillId="34" borderId="0" applyNumberFormat="0" applyBorder="0" applyAlignment="0" applyProtection="0"/>
    <xf numFmtId="0" fontId="142" fillId="35" borderId="0" applyNumberFormat="0" applyBorder="0" applyAlignment="0" applyProtection="0"/>
    <xf numFmtId="0" fontId="142" fillId="36" borderId="0" applyNumberFormat="0" applyBorder="0" applyAlignment="0" applyProtection="0"/>
    <xf numFmtId="0" fontId="142" fillId="37" borderId="0" applyNumberFormat="0" applyBorder="0" applyAlignment="0" applyProtection="0"/>
    <xf numFmtId="0" fontId="142" fillId="38" borderId="0" applyNumberFormat="0" applyBorder="0" applyAlignment="0" applyProtection="0"/>
    <xf numFmtId="0" fontId="142" fillId="39" borderId="0" applyNumberFormat="0" applyBorder="0" applyAlignment="0" applyProtection="0"/>
    <xf numFmtId="0" fontId="142" fillId="40" borderId="0" applyNumberFormat="0" applyBorder="0" applyAlignment="0" applyProtection="0"/>
    <xf numFmtId="198" fontId="52" fillId="0" borderId="0" applyFont="0" applyFill="0" applyBorder="0" applyAlignment="0" applyProtection="0"/>
    <xf numFmtId="0" fontId="53" fillId="0" borderId="0" applyFont="0" applyFill="0" applyBorder="0" applyAlignment="0" applyProtection="0"/>
    <xf numFmtId="198" fontId="54" fillId="0" borderId="0" applyFont="0" applyFill="0" applyBorder="0" applyAlignment="0" applyProtection="0"/>
    <xf numFmtId="199" fontId="52" fillId="0" borderId="0" applyFont="0" applyFill="0" applyBorder="0" applyAlignment="0" applyProtection="0"/>
    <xf numFmtId="0" fontId="53" fillId="0" borderId="0" applyFont="0" applyFill="0" applyBorder="0" applyAlignment="0" applyProtection="0"/>
    <xf numFmtId="199" fontId="54" fillId="0" borderId="0" applyFont="0" applyFill="0" applyBorder="0" applyAlignment="0" applyProtection="0"/>
    <xf numFmtId="0" fontId="55" fillId="0" borderId="0">
      <alignment horizontal="center" wrapText="1"/>
      <protection locked="0"/>
    </xf>
    <xf numFmtId="200" fontId="52" fillId="0" borderId="0" applyFont="0" applyFill="0" applyBorder="0" applyAlignment="0" applyProtection="0"/>
    <xf numFmtId="0" fontId="53" fillId="0" borderId="0" applyFont="0" applyFill="0" applyBorder="0" applyAlignment="0" applyProtection="0"/>
    <xf numFmtId="200" fontId="48" fillId="0" borderId="0" applyFont="0" applyFill="0" applyBorder="0" applyAlignment="0" applyProtection="0"/>
    <xf numFmtId="201" fontId="52" fillId="0" borderId="0" applyFont="0" applyFill="0" applyBorder="0" applyAlignment="0" applyProtection="0"/>
    <xf numFmtId="0" fontId="53" fillId="0" borderId="0" applyFont="0" applyFill="0" applyBorder="0" applyAlignment="0" applyProtection="0"/>
    <xf numFmtId="201" fontId="48" fillId="0" borderId="0" applyFont="0" applyFill="0" applyBorder="0" applyAlignment="0" applyProtection="0"/>
    <xf numFmtId="193" fontId="38" fillId="0" borderId="0" applyFont="0" applyFill="0" applyBorder="0" applyAlignment="0" applyProtection="0"/>
    <xf numFmtId="0" fontId="143" fillId="41" borderId="0" applyNumberFormat="0" applyBorder="0" applyAlignment="0" applyProtection="0"/>
    <xf numFmtId="0" fontId="56" fillId="0" borderId="0" applyNumberFormat="0" applyFill="0" applyBorder="0" applyAlignment="0" applyProtection="0"/>
    <xf numFmtId="0" fontId="53" fillId="0" borderId="0">
      <alignment/>
      <protection/>
    </xf>
    <xf numFmtId="0" fontId="57" fillId="0" borderId="0">
      <alignment/>
      <protection/>
    </xf>
    <xf numFmtId="0" fontId="53" fillId="0" borderId="0">
      <alignment/>
      <protection/>
    </xf>
    <xf numFmtId="0" fontId="58" fillId="0" borderId="0">
      <alignment/>
      <protection/>
    </xf>
    <xf numFmtId="0" fontId="115" fillId="0" borderId="0">
      <alignment/>
      <protection/>
    </xf>
    <xf numFmtId="202" fontId="9" fillId="0" borderId="0" applyFill="0" applyBorder="0" applyAlignment="0">
      <protection/>
    </xf>
    <xf numFmtId="203" fontId="59" fillId="0" borderId="0" applyFill="0" applyBorder="0" applyAlignment="0">
      <protection/>
    </xf>
    <xf numFmtId="204" fontId="59" fillId="0" borderId="0" applyFill="0" applyBorder="0" applyAlignment="0">
      <protection/>
    </xf>
    <xf numFmtId="205" fontId="59" fillId="0" borderId="0" applyFill="0" applyBorder="0" applyAlignment="0">
      <protection/>
    </xf>
    <xf numFmtId="206" fontId="9" fillId="0" borderId="0" applyFill="0" applyBorder="0" applyAlignment="0">
      <protection/>
    </xf>
    <xf numFmtId="188" fontId="59" fillId="0" borderId="0" applyFill="0" applyBorder="0" applyAlignment="0">
      <protection/>
    </xf>
    <xf numFmtId="207" fontId="59" fillId="0" borderId="0" applyFill="0" applyBorder="0" applyAlignment="0">
      <protection/>
    </xf>
    <xf numFmtId="203" fontId="59" fillId="0" borderId="0" applyFill="0" applyBorder="0" applyAlignment="0">
      <protection/>
    </xf>
    <xf numFmtId="0" fontId="144" fillId="42" borderId="2" applyNumberFormat="0" applyAlignment="0" applyProtection="0"/>
    <xf numFmtId="0" fontId="60" fillId="0" borderId="0">
      <alignment/>
      <protection/>
    </xf>
    <xf numFmtId="172" fontId="0" fillId="0" borderId="0" applyFont="0" applyFill="0" applyBorder="0" applyAlignment="0" applyProtection="0"/>
    <xf numFmtId="208" fontId="62" fillId="0" borderId="0">
      <alignment/>
      <protection/>
    </xf>
    <xf numFmtId="208" fontId="62" fillId="0" borderId="0">
      <alignment/>
      <protection/>
    </xf>
    <xf numFmtId="208" fontId="62" fillId="0" borderId="0">
      <alignment/>
      <protection/>
    </xf>
    <xf numFmtId="208" fontId="62" fillId="0" borderId="0">
      <alignment/>
      <protection/>
    </xf>
    <xf numFmtId="208" fontId="62" fillId="0" borderId="0">
      <alignment/>
      <protection/>
    </xf>
    <xf numFmtId="208" fontId="62" fillId="0" borderId="0">
      <alignment/>
      <protection/>
    </xf>
    <xf numFmtId="208" fontId="62" fillId="0" borderId="0">
      <alignment/>
      <protection/>
    </xf>
    <xf numFmtId="208" fontId="62" fillId="0" borderId="0">
      <alignment/>
      <protection/>
    </xf>
    <xf numFmtId="169" fontId="141" fillId="0" borderId="0" applyFont="0" applyFill="0" applyBorder="0" applyAlignment="0" applyProtection="0"/>
    <xf numFmtId="188" fontId="59" fillId="0" borderId="0" applyFont="0" applyFill="0" applyBorder="0" applyAlignment="0" applyProtection="0"/>
    <xf numFmtId="171" fontId="5" fillId="0" borderId="0" applyFont="0" applyFill="0" applyBorder="0" applyAlignment="0" applyProtection="0"/>
    <xf numFmtId="171" fontId="9" fillId="0" borderId="0" applyFont="0" applyFill="0" applyBorder="0" applyAlignment="0" applyProtection="0"/>
    <xf numFmtId="172" fontId="0" fillId="0" borderId="0" applyFont="0" applyFill="0" applyBorder="0" applyAlignment="0" applyProtection="0"/>
    <xf numFmtId="189" fontId="20" fillId="0" borderId="0" applyProtection="0">
      <alignment/>
    </xf>
    <xf numFmtId="171" fontId="33" fillId="0" borderId="0" applyFont="0" applyFill="0" applyBorder="0" applyAlignment="0" applyProtection="0"/>
    <xf numFmtId="196" fontId="0" fillId="0" borderId="0" applyFont="0" applyFill="0" applyBorder="0" applyAlignment="0" applyProtection="0"/>
    <xf numFmtId="171" fontId="9" fillId="0" borderId="0" applyFont="0" applyFill="0" applyBorder="0" applyAlignment="0" applyProtection="0"/>
    <xf numFmtId="171" fontId="145" fillId="0" borderId="0" applyFont="0" applyFill="0" applyBorder="0" applyAlignment="0" applyProtection="0"/>
    <xf numFmtId="171" fontId="5" fillId="0" borderId="0" applyFont="0" applyFill="0" applyBorder="0" applyAlignment="0" applyProtection="0"/>
    <xf numFmtId="177" fontId="9" fillId="0" borderId="0" applyFont="0" applyFill="0" applyBorder="0" applyAlignment="0" applyProtection="0"/>
    <xf numFmtId="171" fontId="120" fillId="0" borderId="0" applyFont="0" applyFill="0" applyBorder="0" applyAlignment="0" applyProtection="0"/>
    <xf numFmtId="201" fontId="0" fillId="0" borderId="0" applyFont="0" applyFill="0" applyBorder="0" applyAlignment="0" applyProtection="0"/>
    <xf numFmtId="209" fontId="43" fillId="0" borderId="0">
      <alignment/>
      <protection/>
    </xf>
    <xf numFmtId="3" fontId="9" fillId="0" borderId="0" applyFont="0" applyFill="0" applyBorder="0" applyAlignment="0" applyProtection="0"/>
    <xf numFmtId="0" fontId="63" fillId="0" borderId="0" applyNumberFormat="0" applyAlignment="0">
      <protection/>
    </xf>
    <xf numFmtId="170" fontId="141" fillId="0" borderId="0" applyFont="0" applyFill="0" applyBorder="0" applyAlignment="0" applyProtection="0"/>
    <xf numFmtId="168" fontId="141" fillId="0" borderId="0" applyFont="0" applyFill="0" applyBorder="0" applyAlignment="0" applyProtection="0"/>
    <xf numFmtId="203" fontId="59" fillId="0" borderId="0" applyFont="0" applyFill="0" applyBorder="0" applyAlignment="0" applyProtection="0"/>
    <xf numFmtId="176" fontId="9" fillId="0" borderId="0" applyFont="0" applyFill="0" applyBorder="0" applyAlignment="0" applyProtection="0"/>
    <xf numFmtId="215" fontId="0" fillId="0" borderId="0" applyFont="0" applyFill="0" applyBorder="0" applyAlignment="0" applyProtection="0"/>
    <xf numFmtId="210" fontId="43" fillId="0" borderId="0">
      <alignment/>
      <protection/>
    </xf>
    <xf numFmtId="0" fontId="146" fillId="43" borderId="3" applyNumberFormat="0" applyAlignment="0" applyProtection="0"/>
    <xf numFmtId="173" fontId="61" fillId="0" borderId="0" applyFont="0" applyFill="0" applyBorder="0" applyAlignment="0" applyProtection="0"/>
    <xf numFmtId="202" fontId="0" fillId="0" borderId="4">
      <alignment/>
      <protection/>
    </xf>
    <xf numFmtId="0" fontId="9" fillId="0" borderId="0" applyFont="0" applyFill="0" applyBorder="0" applyAlignment="0" applyProtection="0"/>
    <xf numFmtId="14" fontId="44" fillId="0" borderId="0" applyFill="0" applyBorder="0" applyAlignment="0">
      <protection/>
    </xf>
    <xf numFmtId="171" fontId="5" fillId="0" borderId="0" applyFont="0" applyFill="0" applyBorder="0" applyAlignment="0" applyProtection="0"/>
    <xf numFmtId="211" fontId="43" fillId="0" borderId="0" applyFont="0" applyFill="0" applyBorder="0" applyAlignment="0" applyProtection="0"/>
    <xf numFmtId="212" fontId="43" fillId="0" borderId="0" applyFont="0" applyFill="0" applyBorder="0" applyAlignment="0" applyProtection="0"/>
    <xf numFmtId="213" fontId="43" fillId="0" borderId="0">
      <alignment/>
      <protection/>
    </xf>
    <xf numFmtId="184" fontId="64" fillId="0" borderId="0" applyFont="0" applyFill="0" applyBorder="0" applyAlignment="0" applyProtection="0"/>
    <xf numFmtId="185" fontId="64" fillId="0" borderId="0" applyFont="0" applyFill="0" applyBorder="0" applyAlignment="0" applyProtection="0"/>
    <xf numFmtId="184" fontId="64" fillId="0" borderId="0" applyFont="0" applyFill="0" applyBorder="0" applyAlignment="0" applyProtection="0"/>
    <xf numFmtId="169"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169" fontId="64" fillId="0" borderId="0" applyFont="0" applyFill="0" applyBorder="0" applyAlignment="0" applyProtection="0"/>
    <xf numFmtId="169" fontId="64" fillId="0" borderId="0" applyFont="0" applyFill="0" applyBorder="0" applyAlignment="0" applyProtection="0"/>
    <xf numFmtId="169"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169" fontId="64" fillId="0" borderId="0" applyFont="0" applyFill="0" applyBorder="0" applyAlignment="0" applyProtection="0"/>
    <xf numFmtId="169" fontId="64" fillId="0" borderId="0" applyFont="0" applyFill="0" applyBorder="0" applyAlignment="0" applyProtection="0"/>
    <xf numFmtId="41" fontId="64" fillId="0" borderId="0" applyFont="0" applyFill="0" applyBorder="0" applyAlignment="0" applyProtection="0"/>
    <xf numFmtId="41" fontId="64" fillId="0" borderId="0" applyFont="0" applyFill="0" applyBorder="0" applyAlignment="0" applyProtection="0"/>
    <xf numFmtId="169" fontId="64" fillId="0" borderId="0" applyFont="0" applyFill="0" applyBorder="0" applyAlignment="0" applyProtection="0"/>
    <xf numFmtId="185" fontId="64" fillId="0" borderId="0" applyFont="0" applyFill="0" applyBorder="0" applyAlignment="0" applyProtection="0"/>
    <xf numFmtId="171" fontId="64" fillId="0" borderId="0" applyFont="0" applyFill="0" applyBorder="0" applyAlignment="0" applyProtection="0"/>
    <xf numFmtId="185" fontId="64" fillId="0" borderId="0" applyFont="0" applyFill="0" applyBorder="0" applyAlignment="0" applyProtection="0"/>
    <xf numFmtId="185"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85" fontId="64" fillId="0" borderId="0" applyFont="0" applyFill="0" applyBorder="0" applyAlignment="0" applyProtection="0"/>
    <xf numFmtId="185" fontId="64" fillId="0" borderId="0" applyFont="0" applyFill="0" applyBorder="0" applyAlignment="0" applyProtection="0"/>
    <xf numFmtId="185" fontId="64"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171" fontId="64" fillId="0" borderId="0" applyFont="0" applyFill="0" applyBorder="0" applyAlignment="0" applyProtection="0"/>
    <xf numFmtId="0" fontId="111" fillId="2" borderId="5" applyNumberFormat="0" applyAlignment="0" applyProtection="0"/>
    <xf numFmtId="0" fontId="108" fillId="14" borderId="6" applyNumberFormat="0" applyAlignment="0" applyProtection="0"/>
    <xf numFmtId="0" fontId="105" fillId="0" borderId="7" applyNumberFormat="0" applyFill="0" applyAlignment="0" applyProtection="0"/>
    <xf numFmtId="0" fontId="106" fillId="0" borderId="8" applyNumberFormat="0" applyFill="0" applyAlignment="0" applyProtection="0"/>
    <xf numFmtId="0" fontId="107" fillId="0" borderId="9" applyNumberFormat="0" applyFill="0" applyAlignment="0" applyProtection="0"/>
    <xf numFmtId="0" fontId="107" fillId="0" borderId="0" applyNumberFormat="0" applyFill="0" applyBorder="0" applyAlignment="0" applyProtection="0"/>
    <xf numFmtId="3" fontId="0" fillId="0" borderId="0" applyFont="0" applyBorder="0" applyAlignment="0">
      <protection/>
    </xf>
    <xf numFmtId="188" fontId="59" fillId="0" borderId="0" applyFill="0" applyBorder="0" applyAlignment="0">
      <protection/>
    </xf>
    <xf numFmtId="203" fontId="59" fillId="0" borderId="0" applyFill="0" applyBorder="0" applyAlignment="0">
      <protection/>
    </xf>
    <xf numFmtId="188" fontId="59" fillId="0" borderId="0" applyFill="0" applyBorder="0" applyAlignment="0">
      <protection/>
    </xf>
    <xf numFmtId="207" fontId="59" fillId="0" borderId="0" applyFill="0" applyBorder="0" applyAlignment="0">
      <protection/>
    </xf>
    <xf numFmtId="203" fontId="59" fillId="0" borderId="0" applyFill="0" applyBorder="0" applyAlignment="0">
      <protection/>
    </xf>
    <xf numFmtId="0" fontId="65" fillId="0" borderId="0" applyNumberFormat="0" applyAlignment="0">
      <protection/>
    </xf>
    <xf numFmtId="0" fontId="147" fillId="0" borderId="0" applyNumberFormat="0" applyFill="0" applyBorder="0" applyAlignment="0" applyProtection="0"/>
    <xf numFmtId="3" fontId="0" fillId="0" borderId="0" applyFont="0" applyBorder="0" applyAlignment="0">
      <protection/>
    </xf>
    <xf numFmtId="2" fontId="9" fillId="0" borderId="0" applyFont="0" applyFill="0" applyBorder="0" applyAlignment="0" applyProtection="0"/>
    <xf numFmtId="0" fontId="7" fillId="44" borderId="10" applyNumberFormat="0" applyFont="0" applyAlignment="0" applyProtection="0"/>
    <xf numFmtId="0" fontId="148" fillId="45" borderId="0" applyNumberFormat="0" applyBorder="0" applyAlignment="0" applyProtection="0"/>
    <xf numFmtId="38" fontId="66" fillId="46" borderId="0" applyNumberFormat="0" applyBorder="0" applyAlignment="0" applyProtection="0"/>
    <xf numFmtId="190" fontId="13" fillId="0" borderId="0" applyFont="0" applyFill="0" applyBorder="0" applyAlignment="0" applyProtection="0"/>
    <xf numFmtId="0" fontId="67" fillId="47" borderId="0">
      <alignment/>
      <protection/>
    </xf>
    <xf numFmtId="0" fontId="68" fillId="0" borderId="0">
      <alignment horizontal="left"/>
      <protection/>
    </xf>
    <xf numFmtId="0" fontId="10" fillId="0" borderId="11" applyNumberFormat="0" applyAlignment="0" applyProtection="0"/>
    <xf numFmtId="0" fontId="10" fillId="0" borderId="12">
      <alignment horizontal="left" vertical="center"/>
      <protection/>
    </xf>
    <xf numFmtId="0" fontId="149" fillId="0" borderId="13" applyNumberFormat="0" applyFill="0" applyAlignment="0" applyProtection="0"/>
    <xf numFmtId="0" fontId="69" fillId="0" borderId="0" applyNumberFormat="0" applyFill="0" applyBorder="0" applyAlignment="0" applyProtection="0"/>
    <xf numFmtId="0" fontId="150" fillId="0" borderId="14" applyNumberFormat="0" applyFill="0" applyAlignment="0" applyProtection="0"/>
    <xf numFmtId="0" fontId="10" fillId="0" borderId="0" applyNumberFormat="0" applyFill="0" applyBorder="0" applyAlignment="0" applyProtection="0"/>
    <xf numFmtId="0" fontId="151" fillId="0" borderId="15" applyNumberFormat="0" applyFill="0" applyAlignment="0" applyProtection="0"/>
    <xf numFmtId="0" fontId="151" fillId="0" borderId="0" applyNumberFormat="0" applyFill="0" applyBorder="0" applyAlignment="0" applyProtection="0"/>
    <xf numFmtId="0" fontId="69" fillId="0" borderId="0" applyProtection="0">
      <alignment/>
    </xf>
    <xf numFmtId="0" fontId="10" fillId="0" borderId="0" applyProtection="0">
      <alignment/>
    </xf>
    <xf numFmtId="0" fontId="70" fillId="0" borderId="16">
      <alignment horizontal="center"/>
      <protection/>
    </xf>
    <xf numFmtId="0" fontId="70" fillId="0" borderId="0">
      <alignment horizontal="center"/>
      <protection/>
    </xf>
    <xf numFmtId="164" fontId="71" fillId="48" borderId="1" applyNumberFormat="0" applyAlignment="0">
      <protection/>
    </xf>
    <xf numFmtId="49" fontId="72" fillId="0" borderId="1">
      <alignment vertical="center"/>
      <protection/>
    </xf>
    <xf numFmtId="197" fontId="32" fillId="0" borderId="0" applyFont="0" applyFill="0" applyBorder="0" applyAlignment="0" applyProtection="0"/>
    <xf numFmtId="0" fontId="152" fillId="49" borderId="2" applyNumberFormat="0" applyAlignment="0" applyProtection="0"/>
    <xf numFmtId="10" fontId="66" fillId="46" borderId="1" applyNumberFormat="0" applyBorder="0" applyAlignment="0" applyProtection="0"/>
    <xf numFmtId="0" fontId="102" fillId="50" borderId="17" applyNumberFormat="0" applyAlignment="0" applyProtection="0"/>
    <xf numFmtId="0" fontId="0" fillId="0" borderId="0">
      <alignment/>
      <protection/>
    </xf>
    <xf numFmtId="0" fontId="43" fillId="0" borderId="0">
      <alignment/>
      <protection/>
    </xf>
    <xf numFmtId="188" fontId="59" fillId="0" borderId="0" applyFill="0" applyBorder="0" applyAlignment="0">
      <protection/>
    </xf>
    <xf numFmtId="203" fontId="59" fillId="0" borderId="0" applyFill="0" applyBorder="0" applyAlignment="0">
      <protection/>
    </xf>
    <xf numFmtId="188" fontId="59" fillId="0" borderId="0" applyFill="0" applyBorder="0" applyAlignment="0">
      <protection/>
    </xf>
    <xf numFmtId="207" fontId="59" fillId="0" borderId="0" applyFill="0" applyBorder="0" applyAlignment="0">
      <protection/>
    </xf>
    <xf numFmtId="203" fontId="59" fillId="0" borderId="0" applyFill="0" applyBorder="0" applyAlignment="0">
      <protection/>
    </xf>
    <xf numFmtId="0" fontId="153" fillId="0" borderId="18" applyNumberFormat="0" applyFill="0" applyAlignment="0" applyProtection="0"/>
    <xf numFmtId="38" fontId="43" fillId="0" borderId="0" applyFont="0" applyFill="0" applyBorder="0" applyAlignment="0" applyProtection="0"/>
    <xf numFmtId="40" fontId="43" fillId="0" borderId="0" applyFont="0" applyFill="0" applyBorder="0" applyAlignment="0" applyProtection="0"/>
    <xf numFmtId="184" fontId="9" fillId="0" borderId="0" applyFont="0" applyFill="0" applyBorder="0" applyAlignment="0" applyProtection="0"/>
    <xf numFmtId="185" fontId="9" fillId="0" borderId="0" applyFont="0" applyFill="0" applyBorder="0" applyAlignment="0" applyProtection="0"/>
    <xf numFmtId="0" fontId="73" fillId="0" borderId="16">
      <alignment/>
      <protection/>
    </xf>
    <xf numFmtId="214" fontId="74" fillId="0" borderId="19">
      <alignment/>
      <protection/>
    </xf>
    <xf numFmtId="215" fontId="43" fillId="0" borderId="0" applyFont="0" applyFill="0" applyBorder="0" applyAlignment="0" applyProtection="0"/>
    <xf numFmtId="216" fontId="43" fillId="0" borderId="0" applyFont="0" applyFill="0" applyBorder="0" applyAlignment="0" applyProtection="0"/>
    <xf numFmtId="217" fontId="9" fillId="0" borderId="0" applyFont="0" applyFill="0" applyBorder="0" applyAlignment="0" applyProtection="0"/>
    <xf numFmtId="218" fontId="9" fillId="0" borderId="0" applyFont="0" applyFill="0" applyBorder="0" applyAlignment="0" applyProtection="0"/>
    <xf numFmtId="0" fontId="11" fillId="0" borderId="0" applyNumberFormat="0" applyFont="0" applyFill="0" applyAlignment="0">
      <protection/>
    </xf>
    <xf numFmtId="0" fontId="154" fillId="51" borderId="0" applyNumberFormat="0" applyBorder="0" applyAlignment="0" applyProtection="0"/>
    <xf numFmtId="0" fontId="4" fillId="0" borderId="0">
      <alignment/>
      <protection/>
    </xf>
    <xf numFmtId="37" fontId="75" fillId="0" borderId="0">
      <alignment/>
      <protection/>
    </xf>
    <xf numFmtId="177" fontId="12" fillId="0" borderId="0">
      <alignment/>
      <protection/>
    </xf>
    <xf numFmtId="0" fontId="24" fillId="0" borderId="0">
      <alignment/>
      <protection/>
    </xf>
    <xf numFmtId="0" fontId="9" fillId="0" borderId="0">
      <alignment/>
      <protection/>
    </xf>
    <xf numFmtId="0" fontId="9" fillId="0" borderId="0">
      <alignment/>
      <protection/>
    </xf>
    <xf numFmtId="0" fontId="141" fillId="0" borderId="0">
      <alignment/>
      <protection/>
    </xf>
    <xf numFmtId="0" fontId="5" fillId="0" borderId="0">
      <alignment/>
      <protection/>
    </xf>
    <xf numFmtId="0" fontId="155" fillId="0" borderId="0">
      <alignment/>
      <protection/>
    </xf>
    <xf numFmtId="0" fontId="2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45" fillId="0" borderId="0">
      <alignment/>
      <protection/>
    </xf>
    <xf numFmtId="0" fontId="0" fillId="0" borderId="0">
      <alignment/>
      <protection/>
    </xf>
    <xf numFmtId="0" fontId="27" fillId="0" borderId="0" applyProtection="0">
      <alignment/>
    </xf>
    <xf numFmtId="0" fontId="6" fillId="0" borderId="0">
      <alignment/>
      <protection/>
    </xf>
    <xf numFmtId="0" fontId="141" fillId="0" borderId="0">
      <alignment/>
      <protection/>
    </xf>
    <xf numFmtId="0" fontId="1" fillId="0" borderId="0">
      <alignment/>
      <protection/>
    </xf>
    <xf numFmtId="0" fontId="9" fillId="0" borderId="0">
      <alignment/>
      <protection/>
    </xf>
    <xf numFmtId="0" fontId="0" fillId="0" borderId="0">
      <alignment/>
      <protection/>
    </xf>
    <xf numFmtId="0" fontId="141" fillId="0" borderId="0">
      <alignment/>
      <protection/>
    </xf>
    <xf numFmtId="0" fontId="0" fillId="0" borderId="0">
      <alignment/>
      <protection/>
    </xf>
    <xf numFmtId="0" fontId="0" fillId="0" borderId="0">
      <alignment/>
      <protection/>
    </xf>
    <xf numFmtId="0" fontId="98" fillId="0" borderId="0">
      <alignment/>
      <protection/>
    </xf>
    <xf numFmtId="0" fontId="9" fillId="0" borderId="0">
      <alignment/>
      <protection/>
    </xf>
    <xf numFmtId="0" fontId="0" fillId="0" borderId="0">
      <alignment/>
      <protection/>
    </xf>
    <xf numFmtId="0" fontId="28" fillId="0" borderId="0">
      <alignment/>
      <protection/>
    </xf>
    <xf numFmtId="0" fontId="1" fillId="0" borderId="0">
      <alignment/>
      <protection/>
    </xf>
    <xf numFmtId="0" fontId="0" fillId="0" borderId="0">
      <alignment/>
      <protection/>
    </xf>
    <xf numFmtId="0" fontId="64" fillId="0" borderId="0">
      <alignment/>
      <protection/>
    </xf>
    <xf numFmtId="0" fontId="141" fillId="52" borderId="20" applyNumberFormat="0" applyFont="0" applyAlignment="0" applyProtection="0"/>
    <xf numFmtId="0" fontId="99" fillId="53" borderId="0" applyNumberFormat="0" applyBorder="0" applyAlignment="0" applyProtection="0"/>
    <xf numFmtId="0" fontId="99" fillId="54" borderId="0" applyNumberFormat="0" applyBorder="0" applyAlignment="0" applyProtection="0"/>
    <xf numFmtId="0" fontId="99" fillId="55" borderId="0" applyNumberFormat="0" applyBorder="0" applyAlignment="0" applyProtection="0"/>
    <xf numFmtId="0" fontId="99" fillId="32" borderId="0" applyNumberFormat="0" applyBorder="0" applyAlignment="0" applyProtection="0"/>
    <xf numFmtId="0" fontId="99" fillId="33" borderId="0" applyNumberFormat="0" applyBorder="0" applyAlignment="0" applyProtection="0"/>
    <xf numFmtId="0" fontId="99" fillId="56" borderId="0" applyNumberFormat="0" applyBorder="0" applyAlignment="0" applyProtection="0"/>
    <xf numFmtId="221" fontId="116" fillId="0" borderId="0" applyFont="0" applyFill="0" applyBorder="0" applyAlignment="0" applyProtection="0"/>
    <xf numFmtId="184" fontId="11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applyNumberFormat="0" applyFill="0" applyBorder="0" applyAlignment="0" applyProtection="0"/>
    <xf numFmtId="0" fontId="0" fillId="0" borderId="0" applyNumberFormat="0" applyFill="0" applyBorder="0" applyAlignment="0" applyProtection="0"/>
    <xf numFmtId="0" fontId="9" fillId="0" borderId="0" applyFont="0" applyFill="0" applyBorder="0" applyAlignment="0" applyProtection="0"/>
    <xf numFmtId="0" fontId="4" fillId="0" borderId="0">
      <alignment/>
      <protection/>
    </xf>
    <xf numFmtId="0" fontId="156" fillId="42" borderId="21" applyNumberFormat="0" applyAlignment="0" applyProtection="0"/>
    <xf numFmtId="0" fontId="109" fillId="0" borderId="22" applyNumberFormat="0" applyFill="0" applyAlignment="0" applyProtection="0"/>
    <xf numFmtId="14" fontId="55" fillId="0" borderId="0">
      <alignment horizontal="center" wrapText="1"/>
      <protection locked="0"/>
    </xf>
    <xf numFmtId="9" fontId="141" fillId="0" borderId="0" applyFont="0" applyFill="0" applyBorder="0" applyAlignment="0" applyProtection="0"/>
    <xf numFmtId="206" fontId="9" fillId="0" borderId="0" applyFont="0" applyFill="0" applyBorder="0" applyAlignment="0" applyProtection="0"/>
    <xf numFmtId="219"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43" fillId="0" borderId="23" applyNumberFormat="0" applyBorder="0">
      <alignment/>
      <protection/>
    </xf>
    <xf numFmtId="188" fontId="59" fillId="0" borderId="0" applyFill="0" applyBorder="0" applyAlignment="0">
      <protection/>
    </xf>
    <xf numFmtId="203" fontId="59" fillId="0" borderId="0" applyFill="0" applyBorder="0" applyAlignment="0">
      <protection/>
    </xf>
    <xf numFmtId="188" fontId="59" fillId="0" borderId="0" applyFill="0" applyBorder="0" applyAlignment="0">
      <protection/>
    </xf>
    <xf numFmtId="207" fontId="59" fillId="0" borderId="0" applyFill="0" applyBorder="0" applyAlignment="0">
      <protection/>
    </xf>
    <xf numFmtId="203" fontId="59" fillId="0" borderId="0" applyFill="0" applyBorder="0" applyAlignment="0">
      <protection/>
    </xf>
    <xf numFmtId="0" fontId="77" fillId="0" borderId="0">
      <alignment/>
      <protection/>
    </xf>
    <xf numFmtId="0" fontId="43" fillId="0" borderId="0" applyNumberFormat="0" applyFont="0" applyFill="0" applyBorder="0" applyAlignment="0" applyProtection="0"/>
    <xf numFmtId="0" fontId="78" fillId="0" borderId="16">
      <alignment horizontal="center"/>
      <protection/>
    </xf>
    <xf numFmtId="0" fontId="79" fillId="57" borderId="0" applyNumberFormat="0" applyFont="0" applyBorder="0" applyAlignment="0">
      <protection/>
    </xf>
    <xf numFmtId="14" fontId="80" fillId="0" borderId="0" applyNumberFormat="0" applyFill="0" applyBorder="0" applyAlignment="0" applyProtection="0"/>
    <xf numFmtId="197" fontId="32" fillId="0" borderId="0" applyFont="0" applyFill="0" applyBorder="0" applyAlignment="0" applyProtection="0"/>
    <xf numFmtId="0" fontId="0" fillId="0" borderId="0" applyNumberFormat="0" applyFill="0" applyBorder="0" applyAlignment="0" applyProtection="0"/>
    <xf numFmtId="4" fontId="81" fillId="58" borderId="24" applyNumberFormat="0" applyProtection="0">
      <alignment vertical="center"/>
    </xf>
    <xf numFmtId="4" fontId="82" fillId="58" borderId="24" applyNumberFormat="0" applyProtection="0">
      <alignment vertical="center"/>
    </xf>
    <xf numFmtId="4" fontId="83" fillId="58" borderId="24" applyNumberFormat="0" applyProtection="0">
      <alignment horizontal="left" vertical="center" indent="1"/>
    </xf>
    <xf numFmtId="4" fontId="83" fillId="59" borderId="0" applyNumberFormat="0" applyProtection="0">
      <alignment horizontal="left" vertical="center" indent="1"/>
    </xf>
    <xf numFmtId="4" fontId="83" fillId="54" borderId="24" applyNumberFormat="0" applyProtection="0">
      <alignment horizontal="right" vertical="center"/>
    </xf>
    <xf numFmtId="4" fontId="83" fillId="10" borderId="24" applyNumberFormat="0" applyProtection="0">
      <alignment horizontal="right" vertical="center"/>
    </xf>
    <xf numFmtId="4" fontId="83" fillId="22" borderId="24" applyNumberFormat="0" applyProtection="0">
      <alignment horizontal="right" vertical="center"/>
    </xf>
    <xf numFmtId="4" fontId="83" fillId="11" borderId="24" applyNumberFormat="0" applyProtection="0">
      <alignment horizontal="right" vertical="center"/>
    </xf>
    <xf numFmtId="4" fontId="83" fillId="24" borderId="24" applyNumberFormat="0" applyProtection="0">
      <alignment horizontal="right" vertical="center"/>
    </xf>
    <xf numFmtId="4" fontId="83" fillId="14" borderId="24" applyNumberFormat="0" applyProtection="0">
      <alignment horizontal="right" vertical="center"/>
    </xf>
    <xf numFmtId="4" fontId="83" fillId="60" borderId="24" applyNumberFormat="0" applyProtection="0">
      <alignment horizontal="right" vertical="center"/>
    </xf>
    <xf numFmtId="4" fontId="83" fillId="55" borderId="24" applyNumberFormat="0" applyProtection="0">
      <alignment horizontal="right" vertical="center"/>
    </xf>
    <xf numFmtId="4" fontId="83" fillId="61" borderId="24" applyNumberFormat="0" applyProtection="0">
      <alignment horizontal="right" vertical="center"/>
    </xf>
    <xf numFmtId="4" fontId="81" fillId="62" borderId="25" applyNumberFormat="0" applyProtection="0">
      <alignment horizontal="left" vertical="center" indent="1"/>
    </xf>
    <xf numFmtId="4" fontId="81" fillId="21" borderId="0" applyNumberFormat="0" applyProtection="0">
      <alignment horizontal="left" vertical="center" indent="1"/>
    </xf>
    <xf numFmtId="4" fontId="81" fillId="59" borderId="0" applyNumberFormat="0" applyProtection="0">
      <alignment horizontal="left" vertical="center" indent="1"/>
    </xf>
    <xf numFmtId="4" fontId="83" fillId="21" borderId="24" applyNumberFormat="0" applyProtection="0">
      <alignment horizontal="right" vertical="center"/>
    </xf>
    <xf numFmtId="4" fontId="44" fillId="21" borderId="0" applyNumberFormat="0" applyProtection="0">
      <alignment horizontal="left" vertical="center" indent="1"/>
    </xf>
    <xf numFmtId="4" fontId="44" fillId="59" borderId="0" applyNumberFormat="0" applyProtection="0">
      <alignment horizontal="left" vertical="center" indent="1"/>
    </xf>
    <xf numFmtId="4" fontId="83" fillId="63" borderId="24" applyNumberFormat="0" applyProtection="0">
      <alignment vertical="center"/>
    </xf>
    <xf numFmtId="4" fontId="84" fillId="63" borderId="24" applyNumberFormat="0" applyProtection="0">
      <alignment vertical="center"/>
    </xf>
    <xf numFmtId="4" fontId="81" fillId="21" borderId="26" applyNumberFormat="0" applyProtection="0">
      <alignment horizontal="left" vertical="center" indent="1"/>
    </xf>
    <xf numFmtId="4" fontId="83" fillId="63" borderId="24" applyNumberFormat="0" applyProtection="0">
      <alignment horizontal="right" vertical="center"/>
    </xf>
    <xf numFmtId="4" fontId="84" fillId="63" borderId="24" applyNumberFormat="0" applyProtection="0">
      <alignment horizontal="right" vertical="center"/>
    </xf>
    <xf numFmtId="4" fontId="81" fillId="21" borderId="24" applyNumberFormat="0" applyProtection="0">
      <alignment horizontal="left" vertical="center" indent="1"/>
    </xf>
    <xf numFmtId="4" fontId="85" fillId="48" borderId="26" applyNumberFormat="0" applyProtection="0">
      <alignment horizontal="left" vertical="center" indent="1"/>
    </xf>
    <xf numFmtId="4" fontId="86" fillId="63" borderId="24" applyNumberFormat="0" applyProtection="0">
      <alignment horizontal="right" vertical="center"/>
    </xf>
    <xf numFmtId="0" fontId="79" fillId="1" borderId="12" applyNumberFormat="0" applyFont="0" applyAlignment="0">
      <protection/>
    </xf>
    <xf numFmtId="0" fontId="87" fillId="0" borderId="0" applyNumberFormat="0" applyFill="0" applyBorder="0" applyAlignment="0">
      <protection/>
    </xf>
    <xf numFmtId="0" fontId="88" fillId="0" borderId="27" applyNumberFormat="0" applyFill="0" applyBorder="0" applyAlignment="0" applyProtection="0"/>
    <xf numFmtId="168" fontId="32" fillId="0" borderId="0" applyFont="0" applyFill="0" applyBorder="0" applyAlignment="0" applyProtection="0"/>
    <xf numFmtId="197" fontId="32" fillId="0" borderId="0" applyFont="0" applyFill="0" applyBorder="0" applyAlignment="0" applyProtection="0"/>
    <xf numFmtId="197"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196" fontId="32" fillId="0" borderId="0" applyFont="0" applyFill="0" applyBorder="0" applyAlignment="0" applyProtection="0"/>
    <xf numFmtId="0" fontId="117" fillId="0" borderId="0">
      <alignment/>
      <protection/>
    </xf>
    <xf numFmtId="0" fontId="73" fillId="0" borderId="0">
      <alignment/>
      <protection/>
    </xf>
    <xf numFmtId="40" fontId="89" fillId="0" borderId="0" applyBorder="0">
      <alignment horizontal="right"/>
      <protection/>
    </xf>
    <xf numFmtId="178" fontId="13" fillId="0" borderId="28">
      <alignment horizontal="right" vertical="center"/>
      <protection/>
    </xf>
    <xf numFmtId="178" fontId="13" fillId="0" borderId="28">
      <alignment horizontal="right" vertical="center"/>
      <protection/>
    </xf>
    <xf numFmtId="178" fontId="13" fillId="0" borderId="28">
      <alignment horizontal="right" vertical="center"/>
      <protection/>
    </xf>
    <xf numFmtId="178" fontId="13" fillId="0" borderId="28">
      <alignment horizontal="right" vertical="center"/>
      <protection/>
    </xf>
    <xf numFmtId="222" fontId="27" fillId="0" borderId="28">
      <alignment horizontal="right" vertical="center"/>
      <protection/>
    </xf>
    <xf numFmtId="223" fontId="0" fillId="0" borderId="28">
      <alignment horizontal="right" vertical="center"/>
      <protection/>
    </xf>
    <xf numFmtId="224" fontId="61" fillId="0" borderId="28">
      <alignment horizontal="right" vertical="center"/>
      <protection/>
    </xf>
    <xf numFmtId="222" fontId="27" fillId="0" borderId="28">
      <alignment horizontal="right" vertical="center"/>
      <protection/>
    </xf>
    <xf numFmtId="178" fontId="13" fillId="0" borderId="28">
      <alignment horizontal="right" vertical="center"/>
      <protection/>
    </xf>
    <xf numFmtId="49" fontId="44" fillId="0" borderId="0" applyFill="0" applyBorder="0" applyAlignment="0">
      <protection/>
    </xf>
    <xf numFmtId="220" fontId="9" fillId="0" borderId="0" applyFill="0" applyBorder="0" applyAlignment="0">
      <protection/>
    </xf>
    <xf numFmtId="180" fontId="9" fillId="0" borderId="0" applyFill="0" applyBorder="0" applyAlignment="0">
      <protection/>
    </xf>
    <xf numFmtId="0" fontId="112" fillId="0" borderId="0" applyNumberFormat="0" applyFill="0" applyBorder="0" applyAlignment="0" applyProtection="0"/>
    <xf numFmtId="0" fontId="101" fillId="2" borderId="6" applyNumberFormat="0" applyAlignment="0" applyProtection="0"/>
    <xf numFmtId="0" fontId="157" fillId="0" borderId="0" applyNumberFormat="0" applyFill="0" applyBorder="0" applyAlignment="0" applyProtection="0"/>
    <xf numFmtId="0" fontId="158" fillId="0" borderId="29" applyNumberFormat="0" applyFill="0" applyAlignment="0" applyProtection="0"/>
    <xf numFmtId="0" fontId="9" fillId="0" borderId="30" applyNumberFormat="0" applyFont="0" applyFill="0" applyAlignment="0" applyProtection="0"/>
    <xf numFmtId="0" fontId="113" fillId="0" borderId="31" applyNumberFormat="0" applyFill="0" applyAlignment="0" applyProtection="0"/>
    <xf numFmtId="0" fontId="104" fillId="11" borderId="0" applyNumberFormat="0" applyBorder="0" applyAlignment="0" applyProtection="0"/>
    <xf numFmtId="179" fontId="13" fillId="0" borderId="28">
      <alignment horizontal="center"/>
      <protection/>
    </xf>
    <xf numFmtId="179" fontId="13" fillId="0" borderId="28">
      <alignment horizontal="center"/>
      <protection/>
    </xf>
    <xf numFmtId="0" fontId="13" fillId="0" borderId="0" applyNumberFormat="0" applyFill="0" applyBorder="0" applyAlignment="0" applyProtection="0"/>
    <xf numFmtId="0" fontId="9" fillId="0" borderId="0" applyNumberFormat="0" applyFill="0" applyBorder="0" applyAlignment="0" applyProtection="0"/>
    <xf numFmtId="0" fontId="76" fillId="0" borderId="0" applyNumberFormat="0" applyFill="0" applyBorder="0" applyAlignment="0" applyProtection="0"/>
    <xf numFmtId="3" fontId="90" fillId="0" borderId="32" applyNumberFormat="0" applyBorder="0" applyAlignment="0">
      <protection/>
    </xf>
    <xf numFmtId="0" fontId="110" fillId="58" borderId="0" applyNumberFormat="0" applyBorder="0" applyAlignment="0" applyProtection="0"/>
    <xf numFmtId="0" fontId="114" fillId="0" borderId="0" applyNumberFormat="0" applyFill="0" applyBorder="0" applyAlignment="0" applyProtection="0"/>
    <xf numFmtId="0" fontId="103" fillId="0" borderId="0" applyNumberFormat="0" applyFill="0" applyBorder="0" applyAlignment="0" applyProtection="0"/>
    <xf numFmtId="180" fontId="13" fillId="0" borderId="0">
      <alignment/>
      <protection/>
    </xf>
    <xf numFmtId="180" fontId="13" fillId="0" borderId="0">
      <alignment/>
      <protection/>
    </xf>
    <xf numFmtId="181" fontId="13" fillId="0" borderId="1">
      <alignment/>
      <protection/>
    </xf>
    <xf numFmtId="181" fontId="13" fillId="0" borderId="1">
      <alignment/>
      <protection/>
    </xf>
    <xf numFmtId="3" fontId="13" fillId="0" borderId="0" applyNumberFormat="0" applyBorder="0" applyAlignment="0" applyProtection="0"/>
    <xf numFmtId="3" fontId="91" fillId="0" borderId="0">
      <alignment/>
      <protection locked="0"/>
    </xf>
    <xf numFmtId="164" fontId="92" fillId="64" borderId="33">
      <alignment vertical="top"/>
      <protection/>
    </xf>
    <xf numFmtId="164" fontId="74" fillId="0" borderId="34">
      <alignment horizontal="left" vertical="top"/>
      <protection/>
    </xf>
    <xf numFmtId="0" fontId="96" fillId="0" borderId="34">
      <alignment horizontal="left" vertical="center"/>
      <protection/>
    </xf>
    <xf numFmtId="0" fontId="93" fillId="65" borderId="1">
      <alignment horizontal="left" vertical="center"/>
      <protection/>
    </xf>
    <xf numFmtId="165" fontId="94" fillId="66" borderId="33">
      <alignment/>
      <protection/>
    </xf>
    <xf numFmtId="164" fontId="71" fillId="0" borderId="33">
      <alignment horizontal="left" vertical="top"/>
      <protection/>
    </xf>
    <xf numFmtId="0" fontId="95" fillId="67" borderId="0">
      <alignment horizontal="left" vertical="center"/>
      <protection/>
    </xf>
    <xf numFmtId="225" fontId="9" fillId="0" borderId="0" applyFont="0" applyFill="0" applyBorder="0" applyAlignment="0" applyProtection="0"/>
    <xf numFmtId="226" fontId="9" fillId="0" borderId="0" applyFont="0" applyFill="0" applyBorder="0" applyAlignment="0" applyProtection="0"/>
    <xf numFmtId="168" fontId="64" fillId="0" borderId="0" applyFont="0" applyFill="0" applyBorder="0" applyAlignment="0" applyProtection="0"/>
    <xf numFmtId="170" fontId="64" fillId="0" borderId="0" applyFont="0" applyFill="0" applyBorder="0" applyAlignment="0" applyProtection="0"/>
    <xf numFmtId="0" fontId="159" fillId="0" borderId="0" applyNumberFormat="0" applyFill="0" applyBorder="0" applyAlignment="0" applyProtection="0"/>
    <xf numFmtId="0" fontId="100" fillId="10" borderId="0" applyNumberFormat="0" applyBorder="0" applyAlignment="0" applyProtection="0"/>
    <xf numFmtId="0" fontId="97" fillId="0" borderId="0" applyNumberForma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5" fillId="0" borderId="0">
      <alignment vertical="center"/>
      <protection/>
    </xf>
    <xf numFmtId="40" fontId="15" fillId="0" borderId="0" applyFont="0" applyFill="0" applyBorder="0" applyAlignment="0" applyProtection="0"/>
    <xf numFmtId="3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9" fontId="16" fillId="0" borderId="0" applyFont="0" applyFill="0" applyBorder="0" applyAlignment="0" applyProtection="0"/>
    <xf numFmtId="0" fontId="17" fillId="0" borderId="0">
      <alignment/>
      <protection/>
    </xf>
    <xf numFmtId="0" fontId="16" fillId="0" borderId="0" applyFont="0" applyFill="0" applyBorder="0" applyAlignment="0" applyProtection="0"/>
    <xf numFmtId="0" fontId="16"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0" fontId="19" fillId="0" borderId="0">
      <alignment/>
      <protection/>
    </xf>
    <xf numFmtId="0" fontId="11" fillId="0" borderId="0">
      <alignment/>
      <protection/>
    </xf>
    <xf numFmtId="184" fontId="20" fillId="0" borderId="0" applyFont="0" applyFill="0" applyBorder="0" applyAlignment="0" applyProtection="0"/>
    <xf numFmtId="185" fontId="20" fillId="0" borderId="0" applyFont="0" applyFill="0" applyBorder="0" applyAlignment="0" applyProtection="0"/>
    <xf numFmtId="0" fontId="4" fillId="0" borderId="0">
      <alignment/>
      <protection/>
    </xf>
    <xf numFmtId="186" fontId="20" fillId="0" borderId="0" applyFont="0" applyFill="0" applyBorder="0" applyAlignment="0" applyProtection="0"/>
    <xf numFmtId="187" fontId="21" fillId="0" borderId="0" applyFont="0" applyFill="0" applyBorder="0" applyAlignment="0" applyProtection="0"/>
    <xf numFmtId="188" fontId="20" fillId="0" borderId="0" applyFont="0" applyFill="0" applyBorder="0" applyAlignment="0" applyProtection="0"/>
  </cellStyleXfs>
  <cellXfs count="675">
    <xf numFmtId="0" fontId="0" fillId="0" borderId="0" xfId="0" applyAlignment="1">
      <alignment/>
    </xf>
    <xf numFmtId="0" fontId="2" fillId="0" borderId="0" xfId="0" applyFont="1" applyAlignment="1">
      <alignment horizontal="center"/>
    </xf>
    <xf numFmtId="0" fontId="2" fillId="0" borderId="0" xfId="0" applyFont="1" applyAlignment="1">
      <alignment horizontal="centerContinuous"/>
    </xf>
    <xf numFmtId="3" fontId="2" fillId="0" borderId="0" xfId="0" applyNumberFormat="1" applyFont="1" applyAlignment="1">
      <alignment horizontal="centerContinuous"/>
    </xf>
    <xf numFmtId="0" fontId="5" fillId="0" borderId="0" xfId="0" applyFont="1" applyAlignment="1">
      <alignment horizontal="centerContinuous"/>
    </xf>
    <xf numFmtId="0" fontId="5" fillId="0" borderId="0" xfId="0" applyFont="1" applyAlignment="1">
      <alignment/>
    </xf>
    <xf numFmtId="0" fontId="23" fillId="0" borderId="0" xfId="0" applyFont="1" applyAlignment="1">
      <alignment horizontal="center"/>
    </xf>
    <xf numFmtId="0" fontId="22" fillId="0" borderId="0" xfId="0" applyFont="1" applyAlignment="1" quotePrefix="1">
      <alignment horizontal="center"/>
    </xf>
    <xf numFmtId="0" fontId="22" fillId="0" borderId="0" xfId="0" applyFont="1" applyAlignment="1" quotePrefix="1">
      <alignment horizontal="centerContinuous"/>
    </xf>
    <xf numFmtId="3" fontId="22" fillId="0" borderId="0" xfId="0" applyNumberFormat="1" applyFont="1" applyAlignment="1" quotePrefix="1">
      <alignment horizontal="centerContinuous"/>
    </xf>
    <xf numFmtId="0" fontId="23" fillId="0" borderId="0" xfId="0" applyFont="1" applyAlignment="1">
      <alignment horizontal="left"/>
    </xf>
    <xf numFmtId="3" fontId="23" fillId="0" borderId="0" xfId="0" applyNumberFormat="1" applyFont="1" applyAlignment="1">
      <alignment horizontal="left"/>
    </xf>
    <xf numFmtId="0" fontId="7" fillId="0" borderId="0" xfId="0" applyFont="1" applyAlignment="1">
      <alignment/>
    </xf>
    <xf numFmtId="0" fontId="23" fillId="0" borderId="0" xfId="0" applyFont="1" applyAlignment="1">
      <alignment/>
    </xf>
    <xf numFmtId="0" fontId="23" fillId="0" borderId="0" xfId="0" applyFont="1" applyAlignment="1">
      <alignment horizontal="right"/>
    </xf>
    <xf numFmtId="0" fontId="22" fillId="0" borderId="1" xfId="0" applyFont="1" applyBorder="1" applyAlignment="1">
      <alignment horizontal="center" vertical="center" wrapText="1"/>
    </xf>
    <xf numFmtId="0" fontId="24" fillId="0" borderId="0" xfId="0" applyFont="1" applyAlignment="1">
      <alignment/>
    </xf>
    <xf numFmtId="0" fontId="25" fillId="0" borderId="1" xfId="0" applyFont="1" applyBorder="1" applyAlignment="1">
      <alignment horizontal="center" vertical="center" wrapText="1"/>
    </xf>
    <xf numFmtId="3" fontId="25" fillId="0" borderId="1" xfId="0" applyNumberFormat="1" applyFont="1" applyBorder="1" applyAlignment="1">
      <alignment horizontal="center" vertical="center" wrapText="1"/>
    </xf>
    <xf numFmtId="0" fontId="25" fillId="0" borderId="0" xfId="0" applyFont="1" applyAlignment="1">
      <alignment vertical="center"/>
    </xf>
    <xf numFmtId="0" fontId="22" fillId="0" borderId="32" xfId="0" applyFont="1" applyBorder="1" applyAlignment="1">
      <alignment horizontal="center" vertical="center" wrapText="1"/>
    </xf>
    <xf numFmtId="0" fontId="22" fillId="0" borderId="32" xfId="0" applyFont="1" applyBorder="1" applyAlignment="1">
      <alignment vertical="center" wrapText="1"/>
    </xf>
    <xf numFmtId="3" fontId="22" fillId="0" borderId="32" xfId="0" applyNumberFormat="1" applyFont="1" applyFill="1" applyBorder="1" applyAlignment="1">
      <alignment vertical="center" wrapText="1"/>
    </xf>
    <xf numFmtId="3" fontId="22" fillId="0" borderId="19" xfId="0" applyNumberFormat="1" applyFont="1" applyBorder="1" applyAlignment="1">
      <alignment/>
    </xf>
    <xf numFmtId="0" fontId="22" fillId="0" borderId="0" xfId="0" applyFont="1" applyAlignment="1">
      <alignment/>
    </xf>
    <xf numFmtId="0" fontId="22" fillId="0" borderId="35" xfId="0" applyFont="1" applyBorder="1" applyAlignment="1">
      <alignment horizontal="center" vertical="center" wrapText="1"/>
    </xf>
    <xf numFmtId="0" fontId="22" fillId="0" borderId="35" xfId="0" applyFont="1" applyBorder="1" applyAlignment="1">
      <alignment vertical="center" wrapText="1"/>
    </xf>
    <xf numFmtId="3" fontId="22" fillId="0" borderId="35" xfId="0" applyNumberFormat="1" applyFont="1" applyFill="1" applyBorder="1" applyAlignment="1">
      <alignment vertical="center" wrapText="1"/>
    </xf>
    <xf numFmtId="0" fontId="7" fillId="0" borderId="35" xfId="0" applyFont="1" applyBorder="1" applyAlignment="1">
      <alignment horizontal="center" vertical="center" wrapText="1"/>
    </xf>
    <xf numFmtId="0" fontId="7" fillId="0" borderId="35" xfId="0" applyFont="1" applyBorder="1" applyAlignment="1">
      <alignment vertical="center" wrapText="1"/>
    </xf>
    <xf numFmtId="3" fontId="7" fillId="0" borderId="35" xfId="0" applyNumberFormat="1" applyFont="1" applyBorder="1" applyAlignment="1">
      <alignment vertical="center" wrapText="1"/>
    </xf>
    <xf numFmtId="3" fontId="7" fillId="0" borderId="35" xfId="0" applyNumberFormat="1" applyFont="1" applyFill="1" applyBorder="1" applyAlignment="1">
      <alignment vertical="center" wrapText="1"/>
    </xf>
    <xf numFmtId="4" fontId="7" fillId="0" borderId="32" xfId="0" applyNumberFormat="1" applyFont="1" applyBorder="1" applyAlignment="1">
      <alignment horizontal="right" vertical="center" wrapText="1"/>
    </xf>
    <xf numFmtId="4" fontId="7" fillId="0" borderId="35" xfId="0" applyNumberFormat="1" applyFont="1" applyBorder="1" applyAlignment="1">
      <alignment vertical="center" wrapText="1"/>
    </xf>
    <xf numFmtId="0" fontId="23" fillId="0" borderId="35" xfId="0" applyFont="1" applyBorder="1" applyAlignment="1">
      <alignment horizontal="center" vertical="center" wrapText="1"/>
    </xf>
    <xf numFmtId="0" fontId="23" fillId="0" borderId="0" xfId="0" applyFont="1" applyAlignment="1">
      <alignment/>
    </xf>
    <xf numFmtId="3" fontId="22" fillId="0" borderId="35" xfId="0" applyNumberFormat="1" applyFont="1" applyBorder="1" applyAlignment="1">
      <alignment vertical="center" wrapText="1"/>
    </xf>
    <xf numFmtId="0" fontId="23" fillId="0" borderId="35" xfId="0" applyFont="1" applyBorder="1" applyAlignment="1">
      <alignment vertical="center" wrapText="1"/>
    </xf>
    <xf numFmtId="3" fontId="23" fillId="0" borderId="35" xfId="0" applyNumberFormat="1" applyFont="1" applyBorder="1" applyAlignment="1">
      <alignment vertical="center" wrapText="1"/>
    </xf>
    <xf numFmtId="3" fontId="23" fillId="0" borderId="35" xfId="0" applyNumberFormat="1" applyFont="1" applyFill="1" applyBorder="1" applyAlignment="1">
      <alignment vertical="center" wrapText="1"/>
    </xf>
    <xf numFmtId="0" fontId="22" fillId="0" borderId="35" xfId="0" applyFont="1" applyBorder="1" applyAlignment="1" quotePrefix="1">
      <alignment horizontal="center" vertical="center" wrapText="1"/>
    </xf>
    <xf numFmtId="3" fontId="22" fillId="0" borderId="36" xfId="0" applyNumberFormat="1" applyFont="1" applyBorder="1" applyAlignment="1">
      <alignment vertical="center" wrapText="1"/>
    </xf>
    <xf numFmtId="3" fontId="7" fillId="0" borderId="36" xfId="0" applyNumberFormat="1" applyFont="1" applyBorder="1" applyAlignment="1">
      <alignment vertical="center" wrapText="1"/>
    </xf>
    <xf numFmtId="3" fontId="7" fillId="0" borderId="36" xfId="0" applyNumberFormat="1" applyFont="1" applyFill="1" applyBorder="1" applyAlignment="1">
      <alignment vertical="center" wrapText="1"/>
    </xf>
    <xf numFmtId="3" fontId="22" fillId="0" borderId="35" xfId="0" applyNumberFormat="1" applyFont="1" applyBorder="1" applyAlignment="1">
      <alignment horizontal="right" vertical="center" wrapText="1"/>
    </xf>
    <xf numFmtId="3" fontId="7" fillId="0" borderId="35" xfId="0" applyNumberFormat="1" applyFont="1" applyFill="1" applyBorder="1" applyAlignment="1">
      <alignment horizontal="right" vertical="center" wrapText="1"/>
    </xf>
    <xf numFmtId="0" fontId="7" fillId="0" borderId="37" xfId="0" applyFont="1" applyBorder="1" applyAlignment="1">
      <alignment/>
    </xf>
    <xf numFmtId="0" fontId="7" fillId="0" borderId="0" xfId="290" applyFont="1" applyAlignment="1">
      <alignment horizontal="center"/>
      <protection/>
    </xf>
    <xf numFmtId="0" fontId="23" fillId="0" borderId="0" xfId="0" applyFont="1" applyAlignment="1" quotePrefix="1">
      <alignment horizontal="left"/>
    </xf>
    <xf numFmtId="3" fontId="23" fillId="0" borderId="0" xfId="0" applyNumberFormat="1" applyFont="1" applyAlignment="1" quotePrefix="1">
      <alignment horizontal="left"/>
    </xf>
    <xf numFmtId="0" fontId="5" fillId="0" borderId="0" xfId="0" applyFont="1" applyAlignment="1">
      <alignment horizontal="center"/>
    </xf>
    <xf numFmtId="3" fontId="5" fillId="0" borderId="0" xfId="0" applyNumberFormat="1" applyFont="1" applyAlignment="1">
      <alignment/>
    </xf>
    <xf numFmtId="0" fontId="22" fillId="0" borderId="0" xfId="0" applyFont="1" applyAlignment="1">
      <alignment horizontal="right"/>
    </xf>
    <xf numFmtId="0" fontId="22" fillId="0" borderId="0" xfId="0" applyFont="1" applyAlignment="1">
      <alignment horizontal="left"/>
    </xf>
    <xf numFmtId="0" fontId="22" fillId="0" borderId="0" xfId="0" applyFont="1" applyAlignment="1">
      <alignment horizontal="centerContinuous"/>
    </xf>
    <xf numFmtId="0" fontId="29" fillId="0" borderId="0" xfId="0" applyFont="1" applyAlignment="1">
      <alignment horizontal="centerContinuous"/>
    </xf>
    <xf numFmtId="0" fontId="25" fillId="0" borderId="1" xfId="0" applyFont="1" applyBorder="1" applyAlignment="1">
      <alignment horizontal="center" vertical="center"/>
    </xf>
    <xf numFmtId="0" fontId="22" fillId="0" borderId="19" xfId="0" applyFont="1" applyBorder="1" applyAlignment="1">
      <alignment horizontal="center"/>
    </xf>
    <xf numFmtId="0" fontId="7" fillId="0" borderId="35" xfId="0" applyFont="1" applyBorder="1" applyAlignment="1">
      <alignment horizontal="center"/>
    </xf>
    <xf numFmtId="0" fontId="7" fillId="0" borderId="35" xfId="0" applyFont="1" applyBorder="1" applyAlignment="1">
      <alignment/>
    </xf>
    <xf numFmtId="3" fontId="7" fillId="0" borderId="35" xfId="0" applyNumberFormat="1" applyFont="1" applyBorder="1" applyAlignment="1">
      <alignment/>
    </xf>
    <xf numFmtId="3" fontId="2" fillId="0" borderId="35" xfId="300" applyNumberFormat="1" applyFont="1" applyFill="1" applyBorder="1" applyAlignment="1">
      <alignment horizontal="right" vertical="center" wrapText="1"/>
      <protection/>
    </xf>
    <xf numFmtId="3" fontId="5" fillId="0" borderId="35" xfId="300" applyNumberFormat="1" applyFont="1" applyFill="1" applyBorder="1" applyAlignment="1">
      <alignment horizontal="right" vertical="center" wrapText="1"/>
      <protection/>
    </xf>
    <xf numFmtId="3" fontId="3" fillId="0" borderId="35" xfId="300" applyNumberFormat="1" applyFont="1" applyFill="1" applyBorder="1" applyAlignment="1">
      <alignment horizontal="right" vertical="center" wrapText="1"/>
      <protection/>
    </xf>
    <xf numFmtId="0" fontId="5" fillId="0" borderId="0" xfId="300" applyFont="1" applyBorder="1">
      <alignment/>
      <protection/>
    </xf>
    <xf numFmtId="0" fontId="5" fillId="0" borderId="0" xfId="0" applyFont="1" applyFill="1" applyAlignment="1">
      <alignment horizontal="centerContinuous"/>
    </xf>
    <xf numFmtId="0" fontId="7" fillId="0" borderId="0" xfId="0" applyFont="1" applyFill="1" applyAlignment="1">
      <alignment/>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Border="1" applyAlignment="1">
      <alignment vertical="center"/>
    </xf>
    <xf numFmtId="0" fontId="2" fillId="0" borderId="35" xfId="0" applyFont="1" applyBorder="1" applyAlignment="1">
      <alignment horizontal="center" vertical="center" wrapText="1"/>
    </xf>
    <xf numFmtId="3" fontId="2" fillId="0" borderId="35" xfId="0" applyNumberFormat="1" applyFont="1" applyFill="1" applyBorder="1" applyAlignment="1">
      <alignment vertical="center" wrapText="1"/>
    </xf>
    <xf numFmtId="175" fontId="2" fillId="0" borderId="35" xfId="0" applyNumberFormat="1" applyFont="1" applyFill="1" applyBorder="1" applyAlignment="1">
      <alignment vertical="center" wrapText="1"/>
    </xf>
    <xf numFmtId="3" fontId="5" fillId="0" borderId="35" xfId="0" applyNumberFormat="1" applyFont="1" applyBorder="1" applyAlignment="1">
      <alignment vertical="center" wrapText="1"/>
    </xf>
    <xf numFmtId="0" fontId="3" fillId="0" borderId="0" xfId="0" applyFont="1" applyAlignment="1">
      <alignment/>
    </xf>
    <xf numFmtId="3" fontId="3" fillId="0" borderId="35" xfId="0" applyNumberFormat="1" applyFont="1" applyBorder="1" applyAlignment="1">
      <alignment vertical="center" wrapText="1"/>
    </xf>
    <xf numFmtId="3" fontId="2" fillId="0" borderId="35" xfId="0" applyNumberFormat="1" applyFont="1" applyBorder="1" applyAlignment="1">
      <alignment vertical="center" wrapText="1"/>
    </xf>
    <xf numFmtId="0" fontId="2" fillId="0" borderId="0" xfId="0" applyFont="1" applyAlignment="1">
      <alignment/>
    </xf>
    <xf numFmtId="3" fontId="5" fillId="0" borderId="35" xfId="0" applyNumberFormat="1" applyFont="1" applyFill="1" applyBorder="1" applyAlignment="1">
      <alignment vertical="center" wrapText="1"/>
    </xf>
    <xf numFmtId="3" fontId="3" fillId="0" borderId="35" xfId="0" applyNumberFormat="1" applyFont="1" applyFill="1" applyBorder="1" applyAlignment="1">
      <alignment vertical="center" wrapText="1"/>
    </xf>
    <xf numFmtId="175" fontId="5" fillId="0" borderId="35" xfId="0" applyNumberFormat="1" applyFont="1" applyFill="1" applyBorder="1" applyAlignment="1">
      <alignment vertical="center" wrapText="1"/>
    </xf>
    <xf numFmtId="0" fontId="5" fillId="0" borderId="35" xfId="0" applyFont="1" applyFill="1" applyBorder="1" applyAlignment="1">
      <alignment vertical="center" wrapText="1"/>
    </xf>
    <xf numFmtId="0" fontId="5" fillId="0" borderId="0" xfId="0" applyFont="1" applyFill="1" applyAlignment="1">
      <alignment/>
    </xf>
    <xf numFmtId="0" fontId="5" fillId="0" borderId="35" xfId="0" applyFont="1" applyBorder="1" applyAlignment="1">
      <alignment horizontal="center" vertical="center" wrapText="1"/>
    </xf>
    <xf numFmtId="0" fontId="5" fillId="0" borderId="35" xfId="0" applyFont="1" applyBorder="1" applyAlignment="1">
      <alignment vertical="center" wrapText="1"/>
    </xf>
    <xf numFmtId="0" fontId="5" fillId="0" borderId="0" xfId="0" applyFont="1" applyBorder="1" applyAlignment="1">
      <alignment vertical="center" wrapText="1"/>
    </xf>
    <xf numFmtId="0" fontId="2" fillId="0" borderId="35" xfId="0" applyFont="1" applyBorder="1" applyAlignment="1">
      <alignment vertical="center" wrapText="1"/>
    </xf>
    <xf numFmtId="0" fontId="2" fillId="0" borderId="35" xfId="0" applyFont="1" applyFill="1" applyBorder="1" applyAlignment="1">
      <alignment vertical="center" wrapText="1"/>
    </xf>
    <xf numFmtId="0" fontId="3" fillId="0" borderId="35" xfId="0" applyFont="1" applyBorder="1" applyAlignment="1">
      <alignment horizontal="center" vertical="center" wrapText="1"/>
    </xf>
    <xf numFmtId="0" fontId="3" fillId="0" borderId="35" xfId="0" applyFont="1" applyFill="1" applyBorder="1" applyAlignment="1">
      <alignment vertical="center" wrapText="1"/>
    </xf>
    <xf numFmtId="0" fontId="5" fillId="0" borderId="37" xfId="0" applyFont="1" applyBorder="1" applyAlignment="1">
      <alignment horizontal="center" vertical="center" wrapText="1"/>
    </xf>
    <xf numFmtId="0" fontId="5" fillId="0" borderId="37" xfId="0" applyFont="1" applyBorder="1" applyAlignment="1">
      <alignment vertical="center" wrapText="1"/>
    </xf>
    <xf numFmtId="0" fontId="5" fillId="0" borderId="37" xfId="0" applyFont="1" applyFill="1" applyBorder="1" applyAlignment="1">
      <alignment vertical="center" wrapText="1"/>
    </xf>
    <xf numFmtId="3" fontId="22" fillId="0" borderId="1" xfId="0" applyNumberFormat="1" applyFont="1" applyBorder="1" applyAlignment="1">
      <alignment horizontal="center" vertical="center" wrapText="1"/>
    </xf>
    <xf numFmtId="0" fontId="22" fillId="0" borderId="38" xfId="0" applyFont="1" applyBorder="1" applyAlignment="1">
      <alignment horizontal="center" vertical="center"/>
    </xf>
    <xf numFmtId="175" fontId="7" fillId="0" borderId="36" xfId="0" applyNumberFormat="1" applyFont="1" applyFill="1" applyBorder="1" applyAlignment="1">
      <alignment horizontal="right" vertical="center" wrapText="1"/>
    </xf>
    <xf numFmtId="0" fontId="23" fillId="0" borderId="0" xfId="0" applyFont="1" applyBorder="1" applyAlignment="1">
      <alignment horizontal="center"/>
    </xf>
    <xf numFmtId="0" fontId="36" fillId="0" borderId="1" xfId="0" applyFont="1" applyBorder="1" applyAlignment="1" quotePrefix="1">
      <alignment horizontal="center" vertical="center"/>
    </xf>
    <xf numFmtId="0" fontId="36" fillId="0" borderId="1" xfId="0" applyFont="1" applyBorder="1" applyAlignment="1">
      <alignment horizontal="center" vertical="center"/>
    </xf>
    <xf numFmtId="0" fontId="26" fillId="0" borderId="19" xfId="0" applyFont="1" applyBorder="1" applyAlignment="1">
      <alignment/>
    </xf>
    <xf numFmtId="0" fontId="22" fillId="0" borderId="37" xfId="0" applyFont="1" applyBorder="1" applyAlignment="1">
      <alignment/>
    </xf>
    <xf numFmtId="0" fontId="2" fillId="0" borderId="0" xfId="290" applyFont="1" applyAlignment="1">
      <alignment horizontal="centerContinuous"/>
      <protection/>
    </xf>
    <xf numFmtId="0" fontId="5" fillId="0" borderId="0" xfId="290" applyFont="1" applyAlignment="1">
      <alignment horizontal="centerContinuous"/>
      <protection/>
    </xf>
    <xf numFmtId="0" fontId="5" fillId="0" borderId="0" xfId="290" applyFont="1">
      <alignment/>
      <protection/>
    </xf>
    <xf numFmtId="0" fontId="22" fillId="0" borderId="0" xfId="290" applyFont="1" applyAlignment="1">
      <alignment horizontal="left"/>
      <protection/>
    </xf>
    <xf numFmtId="0" fontId="23" fillId="0" borderId="0" xfId="290" applyFont="1" applyAlignment="1">
      <alignment horizontal="center"/>
      <protection/>
    </xf>
    <xf numFmtId="0" fontId="23" fillId="0" borderId="0" xfId="290" applyFont="1" applyAlignment="1" quotePrefix="1">
      <alignment horizontal="center"/>
      <protection/>
    </xf>
    <xf numFmtId="0" fontId="23" fillId="0" borderId="0" xfId="290" applyFont="1" applyAlignment="1">
      <alignment horizontal="left"/>
      <protection/>
    </xf>
    <xf numFmtId="0" fontId="7" fillId="0" borderId="0" xfId="290" applyFont="1">
      <alignment/>
      <protection/>
    </xf>
    <xf numFmtId="0" fontId="23" fillId="0" borderId="0" xfId="290" applyFont="1" applyBorder="1" applyAlignment="1">
      <alignment horizontal="right"/>
      <protection/>
    </xf>
    <xf numFmtId="0" fontId="24" fillId="0" borderId="0" xfId="290" applyFont="1">
      <alignment/>
      <protection/>
    </xf>
    <xf numFmtId="0" fontId="25" fillId="0" borderId="1" xfId="290" applyFont="1" applyBorder="1" applyAlignment="1">
      <alignment horizontal="center" vertical="center"/>
      <protection/>
    </xf>
    <xf numFmtId="0" fontId="25" fillId="0" borderId="0" xfId="290" applyFont="1" applyAlignment="1">
      <alignment vertical="center"/>
      <protection/>
    </xf>
    <xf numFmtId="0" fontId="22" fillId="0" borderId="19" xfId="290" applyFont="1" applyBorder="1" applyAlignment="1">
      <alignment horizontal="center"/>
      <protection/>
    </xf>
    <xf numFmtId="0" fontId="26" fillId="0" borderId="19" xfId="290" applyFont="1" applyBorder="1">
      <alignment/>
      <protection/>
    </xf>
    <xf numFmtId="3" fontId="22" fillId="0" borderId="19" xfId="290" applyNumberFormat="1" applyFont="1" applyBorder="1">
      <alignment/>
      <protection/>
    </xf>
    <xf numFmtId="0" fontId="22" fillId="0" borderId="0" xfId="290" applyFont="1">
      <alignment/>
      <protection/>
    </xf>
    <xf numFmtId="3" fontId="7" fillId="0" borderId="35" xfId="290" applyNumberFormat="1" applyFont="1" applyBorder="1">
      <alignment/>
      <protection/>
    </xf>
    <xf numFmtId="0" fontId="7" fillId="0" borderId="37" xfId="290" applyFont="1" applyBorder="1" applyAlignment="1">
      <alignment horizontal="center"/>
      <protection/>
    </xf>
    <xf numFmtId="0" fontId="7" fillId="0" borderId="37" xfId="290" applyFont="1" applyBorder="1">
      <alignment/>
      <protection/>
    </xf>
    <xf numFmtId="3" fontId="7" fillId="0" borderId="37" xfId="290" applyNumberFormat="1" applyFont="1" applyBorder="1">
      <alignment/>
      <protection/>
    </xf>
    <xf numFmtId="0" fontId="7" fillId="0" borderId="0" xfId="290" applyFont="1" applyBorder="1">
      <alignment/>
      <protection/>
    </xf>
    <xf numFmtId="0" fontId="7" fillId="0" borderId="0" xfId="290" applyFont="1" applyBorder="1" applyAlignment="1">
      <alignment horizontal="center"/>
      <protection/>
    </xf>
    <xf numFmtId="3" fontId="7" fillId="0" borderId="0" xfId="290" applyNumberFormat="1" applyFont="1" applyBorder="1">
      <alignment/>
      <protection/>
    </xf>
    <xf numFmtId="0" fontId="5" fillId="0" borderId="0" xfId="290" applyFont="1" applyBorder="1">
      <alignment/>
      <protection/>
    </xf>
    <xf numFmtId="0" fontId="23" fillId="0" borderId="0" xfId="0" applyFont="1" applyBorder="1" applyAlignment="1">
      <alignment/>
    </xf>
    <xf numFmtId="0" fontId="23" fillId="0" borderId="0" xfId="290" applyFont="1" applyBorder="1">
      <alignment/>
      <protection/>
    </xf>
    <xf numFmtId="0" fontId="25" fillId="0" borderId="1" xfId="0" applyFont="1" applyBorder="1" applyAlignment="1" quotePrefix="1">
      <alignment horizontal="center" vertical="center"/>
    </xf>
    <xf numFmtId="3" fontId="7" fillId="0" borderId="32" xfId="0" applyNumberFormat="1" applyFont="1" applyBorder="1" applyAlignment="1">
      <alignment/>
    </xf>
    <xf numFmtId="0" fontId="26" fillId="0" borderId="38" xfId="0" applyFont="1" applyBorder="1" applyAlignment="1">
      <alignment/>
    </xf>
    <xf numFmtId="0" fontId="26" fillId="0" borderId="0" xfId="0" applyFont="1" applyBorder="1" applyAlignment="1">
      <alignment/>
    </xf>
    <xf numFmtId="0" fontId="7" fillId="0" borderId="39" xfId="0" applyFont="1" applyBorder="1" applyAlignment="1">
      <alignment horizontal="center"/>
    </xf>
    <xf numFmtId="0" fontId="7" fillId="0" borderId="38" xfId="0" applyFont="1" applyBorder="1" applyAlignment="1">
      <alignment/>
    </xf>
    <xf numFmtId="0" fontId="2" fillId="0" borderId="0" xfId="300" applyFont="1" applyAlignment="1">
      <alignment horizontal="left"/>
      <protection/>
    </xf>
    <xf numFmtId="0" fontId="5" fillId="0" borderId="0" xfId="300" applyFont="1">
      <alignment/>
      <protection/>
    </xf>
    <xf numFmtId="3" fontId="5" fillId="0" borderId="0" xfId="300" applyNumberFormat="1" applyFont="1">
      <alignment/>
      <protection/>
    </xf>
    <xf numFmtId="0" fontId="2" fillId="0" borderId="0" xfId="300" applyFont="1" applyAlignment="1">
      <alignment horizontal="centerContinuous"/>
      <protection/>
    </xf>
    <xf numFmtId="0" fontId="5" fillId="0" borderId="0" xfId="300" applyFont="1" applyBorder="1" applyAlignment="1">
      <alignment horizontal="right"/>
      <protection/>
    </xf>
    <xf numFmtId="0" fontId="3" fillId="0" borderId="0" xfId="300" applyFont="1" applyBorder="1" applyAlignment="1">
      <alignment vertical="center" wrapText="1"/>
      <protection/>
    </xf>
    <xf numFmtId="0" fontId="2" fillId="0" borderId="0" xfId="0" applyFont="1" applyAlignment="1">
      <alignment horizontal="centerContinuous" vertical="center" wrapText="1"/>
    </xf>
    <xf numFmtId="0" fontId="22" fillId="0" borderId="0" xfId="0" applyFont="1" applyAlignment="1">
      <alignment horizontal="left" vertical="center" wrapText="1"/>
    </xf>
    <xf numFmtId="3" fontId="5" fillId="0" borderId="0" xfId="0" applyNumberFormat="1" applyFont="1" applyAlignment="1">
      <alignment horizontal="centerContinuous"/>
    </xf>
    <xf numFmtId="10" fontId="5" fillId="0" borderId="0" xfId="0" applyNumberFormat="1" applyFont="1" applyAlignment="1">
      <alignment horizontal="centerContinuous"/>
    </xf>
    <xf numFmtId="0" fontId="23" fillId="0" borderId="0" xfId="0" applyFont="1" applyAlignment="1">
      <alignment horizontal="left" vertical="center" wrapText="1"/>
    </xf>
    <xf numFmtId="1" fontId="25" fillId="0" borderId="1" xfId="0" applyNumberFormat="1" applyFont="1" applyBorder="1" applyAlignment="1">
      <alignment horizontal="center" vertical="center" wrapText="1"/>
    </xf>
    <xf numFmtId="0" fontId="37" fillId="0" borderId="32" xfId="0" applyFont="1" applyBorder="1" applyAlignment="1">
      <alignment vertical="center" wrapText="1"/>
    </xf>
    <xf numFmtId="3" fontId="22" fillId="0" borderId="32" xfId="0" applyNumberFormat="1" applyFont="1" applyBorder="1" applyAlignment="1">
      <alignment horizontal="right" vertical="center" wrapText="1"/>
    </xf>
    <xf numFmtId="0" fontId="7" fillId="0" borderId="35" xfId="0" applyFont="1" applyBorder="1" applyAlignment="1" quotePrefix="1">
      <alignment horizontal="center" vertical="center" wrapText="1"/>
    </xf>
    <xf numFmtId="3" fontId="7" fillId="0" borderId="32" xfId="0" applyNumberFormat="1" applyFont="1" applyBorder="1" applyAlignment="1">
      <alignment horizontal="right" vertical="center" wrapText="1"/>
    </xf>
    <xf numFmtId="3" fontId="7" fillId="0" borderId="35" xfId="0" applyNumberFormat="1" applyFont="1" applyBorder="1" applyAlignment="1">
      <alignment horizontal="right" vertical="center" wrapText="1"/>
    </xf>
    <xf numFmtId="10" fontId="22" fillId="0" borderId="32" xfId="0" applyNumberFormat="1" applyFont="1" applyBorder="1" applyAlignment="1">
      <alignment horizontal="right" vertical="center" wrapText="1"/>
    </xf>
    <xf numFmtId="3" fontId="22" fillId="0" borderId="35" xfId="0" applyNumberFormat="1" applyFont="1" applyFill="1" applyBorder="1" applyAlignment="1">
      <alignment horizontal="right" vertical="center" wrapText="1"/>
    </xf>
    <xf numFmtId="10" fontId="7" fillId="0" borderId="32" xfId="0" applyNumberFormat="1" applyFont="1" applyBorder="1" applyAlignment="1">
      <alignment horizontal="right" vertical="center" wrapText="1"/>
    </xf>
    <xf numFmtId="0" fontId="22" fillId="0" borderId="0" xfId="0" applyFont="1" applyFill="1" applyAlignment="1">
      <alignment/>
    </xf>
    <xf numFmtId="0" fontId="22" fillId="0" borderId="35" xfId="0" applyFont="1" applyFill="1" applyBorder="1" applyAlignment="1">
      <alignment horizontal="center" vertical="center" wrapText="1"/>
    </xf>
    <xf numFmtId="0" fontId="22" fillId="0" borderId="35" xfId="0" applyFont="1" applyFill="1" applyBorder="1" applyAlignment="1">
      <alignment vertical="center" wrapText="1"/>
    </xf>
    <xf numFmtId="0" fontId="7" fillId="0" borderId="37" xfId="0" applyFont="1" applyBorder="1" applyAlignment="1">
      <alignment vertical="center" wrapText="1"/>
    </xf>
    <xf numFmtId="0" fontId="7" fillId="0" borderId="37" xfId="0" applyFont="1" applyBorder="1" applyAlignment="1">
      <alignment horizontal="right" vertical="center" wrapText="1"/>
    </xf>
    <xf numFmtId="3" fontId="22" fillId="0" borderId="37" xfId="0" applyNumberFormat="1" applyFont="1" applyBorder="1" applyAlignment="1">
      <alignment horizontal="right" vertical="center" wrapText="1"/>
    </xf>
    <xf numFmtId="2" fontId="7" fillId="0" borderId="37" xfId="0" applyNumberFormat="1" applyFont="1" applyBorder="1" applyAlignment="1">
      <alignment horizontal="right" vertical="center" wrapText="1"/>
    </xf>
    <xf numFmtId="0" fontId="7" fillId="0" borderId="0" xfId="0" applyFont="1" applyAlignment="1">
      <alignment vertical="center" wrapText="1"/>
    </xf>
    <xf numFmtId="3" fontId="7" fillId="0" borderId="0" xfId="0" applyNumberFormat="1" applyFont="1" applyAlignment="1">
      <alignment/>
    </xf>
    <xf numFmtId="10" fontId="7" fillId="0" borderId="0" xfId="0" applyNumberFormat="1" applyFont="1" applyAlignment="1">
      <alignment/>
    </xf>
    <xf numFmtId="0" fontId="5" fillId="0" borderId="0" xfId="0" applyFont="1" applyAlignment="1">
      <alignment vertical="center" wrapText="1"/>
    </xf>
    <xf numFmtId="10" fontId="5" fillId="0" borderId="0" xfId="0" applyNumberFormat="1" applyFont="1" applyAlignment="1">
      <alignment/>
    </xf>
    <xf numFmtId="0" fontId="2" fillId="0" borderId="0" xfId="0" applyFont="1" applyAlignment="1">
      <alignment vertical="center" wrapText="1"/>
    </xf>
    <xf numFmtId="0" fontId="3" fillId="0" borderId="0" xfId="0" applyFont="1" applyAlignment="1">
      <alignment vertical="center" wrapText="1"/>
    </xf>
    <xf numFmtId="0" fontId="30" fillId="0" borderId="0" xfId="0" applyFont="1" applyAlignment="1">
      <alignment vertical="center" wrapText="1"/>
    </xf>
    <xf numFmtId="10" fontId="7" fillId="0" borderId="35" xfId="0" applyNumberFormat="1" applyFont="1" applyBorder="1" applyAlignment="1">
      <alignment vertical="center" wrapText="1"/>
    </xf>
    <xf numFmtId="3" fontId="26" fillId="0" borderId="35" xfId="0" applyNumberFormat="1" applyFont="1" applyBorder="1" applyAlignment="1">
      <alignment vertical="center" wrapText="1"/>
    </xf>
    <xf numFmtId="0" fontId="3" fillId="0" borderId="0" xfId="300" applyFont="1" applyAlignment="1">
      <alignment horizontal="left"/>
      <protection/>
    </xf>
    <xf numFmtId="0" fontId="2" fillId="0" borderId="35" xfId="300" applyFont="1" applyBorder="1" applyAlignment="1">
      <alignment horizontal="center" vertical="center" wrapText="1"/>
      <protection/>
    </xf>
    <xf numFmtId="0" fontId="2" fillId="0" borderId="1" xfId="300" applyFont="1" applyBorder="1" applyAlignment="1">
      <alignment horizontal="center" vertical="center"/>
      <protection/>
    </xf>
    <xf numFmtId="0" fontId="2" fillId="0" borderId="0" xfId="300" applyFont="1" applyAlignment="1">
      <alignment vertical="center"/>
      <protection/>
    </xf>
    <xf numFmtId="0" fontId="2" fillId="0" borderId="35" xfId="300" applyFont="1" applyBorder="1" applyAlignment="1">
      <alignment horizontal="center"/>
      <protection/>
    </xf>
    <xf numFmtId="0" fontId="5" fillId="0" borderId="35" xfId="300" applyFont="1" applyBorder="1" applyAlignment="1">
      <alignment horizontal="center"/>
      <protection/>
    </xf>
    <xf numFmtId="0" fontId="3" fillId="0" borderId="0" xfId="300" applyFont="1">
      <alignment/>
      <protection/>
    </xf>
    <xf numFmtId="0" fontId="5" fillId="0" borderId="35" xfId="300" applyFont="1" applyBorder="1" applyAlignment="1" quotePrefix="1">
      <alignment horizontal="center"/>
      <protection/>
    </xf>
    <xf numFmtId="0" fontId="5" fillId="0" borderId="35" xfId="300" applyFont="1" applyBorder="1" applyAlignment="1">
      <alignment horizontal="center" vertical="center"/>
      <protection/>
    </xf>
    <xf numFmtId="175" fontId="3" fillId="0" borderId="0" xfId="0" applyNumberFormat="1" applyFont="1" applyAlignment="1">
      <alignment/>
    </xf>
    <xf numFmtId="175" fontId="5" fillId="0" borderId="0" xfId="0" applyNumberFormat="1" applyFont="1" applyAlignment="1">
      <alignment/>
    </xf>
    <xf numFmtId="0" fontId="3" fillId="0" borderId="35" xfId="0" applyFont="1" applyFill="1" applyBorder="1" applyAlignment="1">
      <alignment horizontal="center" vertical="center" wrapText="1"/>
    </xf>
    <xf numFmtId="0" fontId="3" fillId="0" borderId="27" xfId="0" applyFont="1" applyFill="1" applyBorder="1" applyAlignment="1">
      <alignment vertical="center" wrapText="1"/>
    </xf>
    <xf numFmtId="0" fontId="3" fillId="0" borderId="0" xfId="0" applyFont="1" applyFill="1" applyAlignment="1">
      <alignment vertical="center" wrapText="1"/>
    </xf>
    <xf numFmtId="0" fontId="5" fillId="0" borderId="35" xfId="0" applyFont="1" applyFill="1" applyBorder="1" applyAlignment="1">
      <alignment horizontal="center" vertical="center" wrapText="1"/>
    </xf>
    <xf numFmtId="0" fontId="5" fillId="0" borderId="27"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Border="1" applyAlignment="1">
      <alignment vertical="center" wrapText="1"/>
    </xf>
    <xf numFmtId="0" fontId="2" fillId="0" borderId="35"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5" fillId="0" borderId="35" xfId="303" applyFont="1" applyBorder="1" applyAlignment="1">
      <alignment vertical="center" wrapText="1"/>
      <protection/>
    </xf>
    <xf numFmtId="0" fontId="2" fillId="0" borderId="0" xfId="303" applyFont="1" applyAlignment="1">
      <alignment horizontal="centerContinuous"/>
      <protection/>
    </xf>
    <xf numFmtId="0" fontId="5" fillId="0" borderId="0" xfId="303" applyFont="1" applyAlignment="1">
      <alignment horizontal="centerContinuous"/>
      <protection/>
    </xf>
    <xf numFmtId="0" fontId="5" fillId="0" borderId="0" xfId="303" applyFont="1">
      <alignment/>
      <protection/>
    </xf>
    <xf numFmtId="0" fontId="23" fillId="0" borderId="0" xfId="303" applyFont="1" applyAlignment="1">
      <alignment horizontal="left"/>
      <protection/>
    </xf>
    <xf numFmtId="0" fontId="7" fillId="0" borderId="0" xfId="303" applyFont="1">
      <alignment/>
      <protection/>
    </xf>
    <xf numFmtId="0" fontId="2" fillId="0" borderId="0" xfId="303" applyFont="1">
      <alignment/>
      <protection/>
    </xf>
    <xf numFmtId="0" fontId="5" fillId="0" borderId="37" xfId="303" applyFont="1" applyBorder="1">
      <alignment/>
      <protection/>
    </xf>
    <xf numFmtId="0" fontId="2" fillId="0" borderId="1" xfId="303" applyFont="1" applyBorder="1" applyAlignment="1">
      <alignment horizontal="center" vertical="center" wrapText="1"/>
      <protection/>
    </xf>
    <xf numFmtId="0" fontId="2" fillId="0" borderId="1" xfId="303" applyFont="1" applyBorder="1" applyAlignment="1">
      <alignment horizontal="center" vertical="center"/>
      <protection/>
    </xf>
    <xf numFmtId="0" fontId="2" fillId="0" borderId="0" xfId="303" applyFont="1" applyAlignment="1">
      <alignment vertical="center"/>
      <protection/>
    </xf>
    <xf numFmtId="0" fontId="2" fillId="0" borderId="32" xfId="303" applyFont="1" applyBorder="1" applyAlignment="1">
      <alignment horizontal="center"/>
      <protection/>
    </xf>
    <xf numFmtId="0" fontId="2" fillId="0" borderId="32" xfId="303" applyFont="1" applyBorder="1" applyAlignment="1">
      <alignment vertical="center" wrapText="1"/>
      <protection/>
    </xf>
    <xf numFmtId="3" fontId="2" fillId="0" borderId="32" xfId="303" applyNumberFormat="1" applyFont="1" applyBorder="1">
      <alignment/>
      <protection/>
    </xf>
    <xf numFmtId="0" fontId="7" fillId="0" borderId="37" xfId="303" applyFont="1" applyBorder="1">
      <alignment/>
      <protection/>
    </xf>
    <xf numFmtId="0" fontId="5" fillId="0" borderId="35" xfId="303" applyFont="1" applyBorder="1" applyAlignment="1">
      <alignment horizontal="center"/>
      <protection/>
    </xf>
    <xf numFmtId="3" fontId="2" fillId="0" borderId="35" xfId="303" applyNumberFormat="1" applyFont="1" applyBorder="1">
      <alignment/>
      <protection/>
    </xf>
    <xf numFmtId="3" fontId="5" fillId="0" borderId="35" xfId="303" applyNumberFormat="1" applyFont="1" applyBorder="1">
      <alignment/>
      <protection/>
    </xf>
    <xf numFmtId="3" fontId="5" fillId="0" borderId="37" xfId="303" applyNumberFormat="1" applyFont="1" applyBorder="1">
      <alignment/>
      <protection/>
    </xf>
    <xf numFmtId="0" fontId="5" fillId="0" borderId="0" xfId="305" applyFont="1">
      <alignment/>
      <protection/>
    </xf>
    <xf numFmtId="3" fontId="22" fillId="0" borderId="32" xfId="0" applyNumberFormat="1" applyFont="1" applyBorder="1" applyAlignment="1">
      <alignment vertical="center" wrapText="1"/>
    </xf>
    <xf numFmtId="175" fontId="2" fillId="0" borderId="12" xfId="0" applyNumberFormat="1" applyFont="1" applyBorder="1" applyAlignment="1">
      <alignment vertical="center"/>
    </xf>
    <xf numFmtId="0" fontId="2" fillId="0" borderId="0" xfId="0" applyFont="1" applyAlignment="1">
      <alignment horizontal="right"/>
    </xf>
    <xf numFmtId="0" fontId="2" fillId="0" borderId="1" xfId="0" applyFont="1" applyBorder="1" applyAlignment="1">
      <alignment horizontal="center" vertical="center" wrapText="1"/>
    </xf>
    <xf numFmtId="0" fontId="2" fillId="0" borderId="0" xfId="305" applyFont="1" applyAlignment="1">
      <alignment horizontal="centerContinuous"/>
      <protection/>
    </xf>
    <xf numFmtId="0" fontId="5" fillId="0" borderId="0" xfId="305" applyFont="1" applyAlignment="1">
      <alignment horizontal="centerContinuous"/>
      <protection/>
    </xf>
    <xf numFmtId="0" fontId="22" fillId="0" borderId="0" xfId="305" applyFont="1" applyAlignment="1">
      <alignment horizontal="left"/>
      <protection/>
    </xf>
    <xf numFmtId="0" fontId="23" fillId="0" borderId="0" xfId="305" applyFont="1" applyAlignment="1">
      <alignment horizontal="left"/>
      <protection/>
    </xf>
    <xf numFmtId="0" fontId="7" fillId="0" borderId="0" xfId="305" applyFont="1">
      <alignment/>
      <protection/>
    </xf>
    <xf numFmtId="0" fontId="24" fillId="0" borderId="0" xfId="305" applyFont="1">
      <alignment/>
      <protection/>
    </xf>
    <xf numFmtId="0" fontId="25" fillId="0" borderId="1" xfId="305" applyFont="1" applyBorder="1" applyAlignment="1">
      <alignment horizontal="center" vertical="center"/>
      <protection/>
    </xf>
    <xf numFmtId="0" fontId="25" fillId="0" borderId="0" xfId="305" applyFont="1" applyAlignment="1">
      <alignment vertical="center"/>
      <protection/>
    </xf>
    <xf numFmtId="0" fontId="22" fillId="0" borderId="19" xfId="305" applyFont="1" applyBorder="1" applyAlignment="1">
      <alignment horizontal="center"/>
      <protection/>
    </xf>
    <xf numFmtId="3" fontId="26" fillId="0" borderId="19" xfId="305" applyNumberFormat="1" applyFont="1" applyBorder="1">
      <alignment/>
      <protection/>
    </xf>
    <xf numFmtId="0" fontId="7" fillId="0" borderId="35" xfId="305" applyFont="1" applyBorder="1" applyAlignment="1">
      <alignment horizontal="center"/>
      <protection/>
    </xf>
    <xf numFmtId="0" fontId="7" fillId="0" borderId="35" xfId="305" applyFont="1" applyBorder="1">
      <alignment/>
      <protection/>
    </xf>
    <xf numFmtId="3" fontId="7" fillId="0" borderId="35" xfId="305" applyNumberFormat="1" applyFont="1" applyBorder="1">
      <alignment/>
      <protection/>
    </xf>
    <xf numFmtId="0" fontId="7" fillId="0" borderId="37" xfId="305" applyFont="1" applyBorder="1">
      <alignment/>
      <protection/>
    </xf>
    <xf numFmtId="0" fontId="7" fillId="0" borderId="35" xfId="304" applyFont="1" applyBorder="1" applyAlignment="1">
      <alignment horizontal="center" vertical="center" wrapText="1"/>
      <protection/>
    </xf>
    <xf numFmtId="0" fontId="7" fillId="0" borderId="35" xfId="304" applyFont="1" applyBorder="1" applyAlignment="1">
      <alignment vertical="center" wrapText="1"/>
      <protection/>
    </xf>
    <xf numFmtId="4" fontId="7" fillId="0" borderId="35" xfId="0" applyNumberFormat="1" applyFont="1" applyBorder="1" applyAlignment="1">
      <alignment/>
    </xf>
    <xf numFmtId="0" fontId="5" fillId="0" borderId="35" xfId="0" applyFont="1" applyBorder="1" applyAlignment="1" quotePrefix="1">
      <alignment horizontal="center" vertical="center" wrapText="1"/>
    </xf>
    <xf numFmtId="3" fontId="22" fillId="0" borderId="0" xfId="0" applyNumberFormat="1" applyFont="1" applyAlignment="1">
      <alignment/>
    </xf>
    <xf numFmtId="0" fontId="3" fillId="0" borderId="0" xfId="0" applyFont="1" applyAlignment="1">
      <alignment horizontal="left"/>
    </xf>
    <xf numFmtId="0" fontId="2" fillId="0" borderId="0" xfId="0" applyFont="1" applyAlignment="1">
      <alignment vertical="center"/>
    </xf>
    <xf numFmtId="0" fontId="23" fillId="0" borderId="0" xfId="305" applyFont="1" applyAlignment="1">
      <alignment horizontal="center" vertical="center" wrapText="1"/>
      <protection/>
    </xf>
    <xf numFmtId="0" fontId="2" fillId="0" borderId="37" xfId="0" applyFont="1" applyFill="1" applyBorder="1" applyAlignment="1">
      <alignment horizontal="center" vertical="center" wrapText="1"/>
    </xf>
    <xf numFmtId="0" fontId="2" fillId="0" borderId="37" xfId="0" applyFont="1" applyFill="1" applyBorder="1" applyAlignment="1">
      <alignment vertical="center" wrapText="1"/>
    </xf>
    <xf numFmtId="0" fontId="2" fillId="0" borderId="19" xfId="0" applyFont="1" applyBorder="1" applyAlignment="1">
      <alignment horizontal="center" vertical="center" wrapText="1"/>
    </xf>
    <xf numFmtId="0" fontId="2" fillId="0" borderId="19" xfId="0" applyFont="1" applyBorder="1" applyAlignment="1">
      <alignment vertical="center" wrapText="1"/>
    </xf>
    <xf numFmtId="0" fontId="23" fillId="0" borderId="0" xfId="0" applyFont="1" applyFill="1" applyAlignment="1">
      <alignment horizontal="left"/>
    </xf>
    <xf numFmtId="3" fontId="2" fillId="0" borderId="19" xfId="0" applyNumberFormat="1" applyFont="1" applyFill="1" applyBorder="1" applyAlignment="1">
      <alignment vertical="center" wrapText="1"/>
    </xf>
    <xf numFmtId="0" fontId="2" fillId="0" borderId="0" xfId="301" applyFont="1" applyAlignment="1">
      <alignment horizontal="centerContinuous"/>
      <protection/>
    </xf>
    <xf numFmtId="0" fontId="5" fillId="0" borderId="0" xfId="301" applyFont="1" applyAlignment="1">
      <alignment horizontal="centerContinuous"/>
      <protection/>
    </xf>
    <xf numFmtId="0" fontId="5" fillId="0" borderId="0" xfId="301" applyFont="1">
      <alignment/>
      <protection/>
    </xf>
    <xf numFmtId="0" fontId="22" fillId="0" borderId="0" xfId="301" applyFont="1" applyAlignment="1">
      <alignment horizontal="left"/>
      <protection/>
    </xf>
    <xf numFmtId="0" fontId="23" fillId="0" borderId="0" xfId="301" applyFont="1" applyAlignment="1">
      <alignment horizontal="center"/>
      <protection/>
    </xf>
    <xf numFmtId="0" fontId="3" fillId="0" borderId="0" xfId="301" applyFont="1">
      <alignment/>
      <protection/>
    </xf>
    <xf numFmtId="0" fontId="23" fillId="0" borderId="0" xfId="301" applyFont="1" applyAlignment="1">
      <alignment horizontal="left"/>
      <protection/>
    </xf>
    <xf numFmtId="0" fontId="7" fillId="0" borderId="0" xfId="301" applyFont="1">
      <alignment/>
      <protection/>
    </xf>
    <xf numFmtId="0" fontId="24" fillId="0" borderId="0" xfId="301" applyFont="1">
      <alignment/>
      <protection/>
    </xf>
    <xf numFmtId="0" fontId="25" fillId="0" borderId="1" xfId="301" applyFont="1" applyBorder="1" applyAlignment="1">
      <alignment horizontal="center" vertical="center" wrapText="1"/>
      <protection/>
    </xf>
    <xf numFmtId="0" fontId="25" fillId="0" borderId="0" xfId="301" applyFont="1" applyAlignment="1">
      <alignment horizontal="center" vertical="center"/>
      <protection/>
    </xf>
    <xf numFmtId="0" fontId="22" fillId="0" borderId="35" xfId="301" applyFont="1" applyBorder="1" applyAlignment="1">
      <alignment horizontal="center" vertical="center" wrapText="1"/>
      <protection/>
    </xf>
    <xf numFmtId="0" fontId="37" fillId="0" borderId="35" xfId="301" applyFont="1" applyBorder="1" applyAlignment="1">
      <alignment vertical="center" wrapText="1"/>
      <protection/>
    </xf>
    <xf numFmtId="3" fontId="7" fillId="0" borderId="35" xfId="301" applyNumberFormat="1" applyFont="1" applyBorder="1" applyAlignment="1">
      <alignment vertical="center" wrapText="1"/>
      <protection/>
    </xf>
    <xf numFmtId="3" fontId="7" fillId="0" borderId="32" xfId="301" applyNumberFormat="1" applyFont="1" applyBorder="1" applyAlignment="1">
      <alignment vertical="center" wrapText="1"/>
      <protection/>
    </xf>
    <xf numFmtId="0" fontId="7" fillId="0" borderId="35" xfId="301" applyFont="1" applyBorder="1" applyAlignment="1">
      <alignment vertical="center" wrapText="1"/>
      <protection/>
    </xf>
    <xf numFmtId="3" fontId="22" fillId="0" borderId="35" xfId="301" applyNumberFormat="1" applyFont="1" applyBorder="1" applyAlignment="1">
      <alignment vertical="center" wrapText="1"/>
      <protection/>
    </xf>
    <xf numFmtId="0" fontId="22" fillId="0" borderId="35" xfId="301" applyFont="1" applyBorder="1" applyAlignment="1">
      <alignment vertical="center" wrapText="1"/>
      <protection/>
    </xf>
    <xf numFmtId="0" fontId="22" fillId="0" borderId="0" xfId="301" applyFont="1">
      <alignment/>
      <protection/>
    </xf>
    <xf numFmtId="0" fontId="7" fillId="0" borderId="35" xfId="301" applyFont="1" applyBorder="1" applyAlignment="1">
      <alignment horizontal="center" vertical="center" wrapText="1"/>
      <protection/>
    </xf>
    <xf numFmtId="0" fontId="7" fillId="0" borderId="35" xfId="301" applyFont="1" applyBorder="1" applyAlignment="1" quotePrefix="1">
      <alignment horizontal="center" vertical="center" wrapText="1"/>
      <protection/>
    </xf>
    <xf numFmtId="0" fontId="22" fillId="0" borderId="35" xfId="301" applyFont="1" applyFill="1" applyBorder="1" applyAlignment="1">
      <alignment horizontal="center" vertical="center" wrapText="1"/>
      <protection/>
    </xf>
    <xf numFmtId="0" fontId="22" fillId="0" borderId="35" xfId="301" applyFont="1" applyFill="1" applyBorder="1" applyAlignment="1">
      <alignment vertical="center" wrapText="1"/>
      <protection/>
    </xf>
    <xf numFmtId="3" fontId="26" fillId="0" borderId="35" xfId="301" applyNumberFormat="1" applyFont="1" applyFill="1" applyBorder="1" applyAlignment="1">
      <alignment vertical="center" wrapText="1"/>
      <protection/>
    </xf>
    <xf numFmtId="0" fontId="7" fillId="0" borderId="0" xfId="301" applyFont="1" applyFill="1">
      <alignment/>
      <protection/>
    </xf>
    <xf numFmtId="3" fontId="22" fillId="0" borderId="35" xfId="301" applyNumberFormat="1" applyFont="1" applyFill="1" applyBorder="1" applyAlignment="1">
      <alignment vertical="center" wrapText="1"/>
      <protection/>
    </xf>
    <xf numFmtId="0" fontId="7" fillId="0" borderId="37" xfId="301" applyFont="1" applyBorder="1" applyAlignment="1">
      <alignment vertical="center" wrapText="1"/>
      <protection/>
    </xf>
    <xf numFmtId="0" fontId="5" fillId="0" borderId="37" xfId="301" applyFont="1" applyBorder="1" applyAlignment="1">
      <alignment vertical="center" wrapText="1"/>
      <protection/>
    </xf>
    <xf numFmtId="0" fontId="22" fillId="0" borderId="1" xfId="0" applyFont="1" applyFill="1" applyBorder="1" applyAlignment="1">
      <alignment horizontal="center" vertical="center" wrapText="1"/>
    </xf>
    <xf numFmtId="3" fontId="22" fillId="0" borderId="36" xfId="0" applyNumberFormat="1" applyFont="1" applyFill="1" applyBorder="1" applyAlignment="1">
      <alignment vertical="center" wrapText="1"/>
    </xf>
    <xf numFmtId="0" fontId="7" fillId="0" borderId="37" xfId="0" applyFont="1" applyFill="1" applyBorder="1" applyAlignment="1">
      <alignment/>
    </xf>
    <xf numFmtId="4" fontId="7" fillId="0" borderId="32" xfId="0" applyNumberFormat="1" applyFont="1" applyBorder="1" applyAlignment="1">
      <alignment vertical="center" wrapText="1"/>
    </xf>
    <xf numFmtId="4" fontId="7" fillId="0" borderId="35" xfId="301" applyNumberFormat="1" applyFont="1" applyBorder="1" applyAlignment="1">
      <alignment vertical="center" wrapText="1"/>
      <protection/>
    </xf>
    <xf numFmtId="3" fontId="22" fillId="0" borderId="0" xfId="301" applyNumberFormat="1" applyFont="1">
      <alignment/>
      <protection/>
    </xf>
    <xf numFmtId="3" fontId="22" fillId="0" borderId="35" xfId="300" applyNumberFormat="1" applyFont="1" applyFill="1" applyBorder="1" applyAlignment="1">
      <alignment horizontal="right" vertical="center" wrapText="1"/>
      <protection/>
    </xf>
    <xf numFmtId="3" fontId="22" fillId="0" borderId="0" xfId="301" applyNumberFormat="1" applyFont="1" applyAlignment="1">
      <alignment vertical="center" wrapText="1"/>
      <protection/>
    </xf>
    <xf numFmtId="0" fontId="7" fillId="0" borderId="0" xfId="301" applyFont="1" applyAlignment="1">
      <alignment vertical="center" wrapText="1"/>
      <protection/>
    </xf>
    <xf numFmtId="0" fontId="22" fillId="0" borderId="0" xfId="301" applyFont="1" applyAlignment="1">
      <alignment vertical="center" wrapText="1"/>
      <protection/>
    </xf>
    <xf numFmtId="0" fontId="7" fillId="0" borderId="0" xfId="301" applyFont="1" applyFill="1" applyAlignment="1">
      <alignment vertical="center" wrapText="1"/>
      <protection/>
    </xf>
    <xf numFmtId="175" fontId="7" fillId="0" borderId="0" xfId="301" applyNumberFormat="1" applyFont="1" applyAlignment="1">
      <alignment vertical="center" wrapText="1"/>
      <protection/>
    </xf>
    <xf numFmtId="0" fontId="26" fillId="0" borderId="19" xfId="305" applyFont="1" applyBorder="1" applyAlignment="1">
      <alignment horizontal="center"/>
      <protection/>
    </xf>
    <xf numFmtId="0" fontId="24" fillId="0" borderId="0" xfId="305" applyFont="1" applyAlignment="1">
      <alignment vertical="center" wrapText="1"/>
      <protection/>
    </xf>
    <xf numFmtId="0" fontId="24" fillId="0" borderId="0" xfId="305" applyFont="1" applyAlignment="1">
      <alignment horizontal="center" vertical="center" wrapText="1"/>
      <protection/>
    </xf>
    <xf numFmtId="0" fontId="24" fillId="0" borderId="0" xfId="305" applyFont="1" applyBorder="1" applyAlignment="1">
      <alignment horizontal="center" vertical="center" wrapText="1"/>
      <protection/>
    </xf>
    <xf numFmtId="175" fontId="7" fillId="0" borderId="35" xfId="305" applyNumberFormat="1" applyFont="1" applyBorder="1" applyAlignment="1">
      <alignment vertical="center" wrapText="1"/>
      <protection/>
    </xf>
    <xf numFmtId="175" fontId="7" fillId="0" borderId="0" xfId="305" applyNumberFormat="1" applyFont="1" applyAlignment="1">
      <alignment vertical="center" wrapText="1"/>
      <protection/>
    </xf>
    <xf numFmtId="3" fontId="26" fillId="0" borderId="0" xfId="305" applyNumberFormat="1" applyFont="1" applyBorder="1">
      <alignment/>
      <protection/>
    </xf>
    <xf numFmtId="0" fontId="5" fillId="0" borderId="0" xfId="285" applyFont="1" applyAlignment="1">
      <alignment horizontal="centerContinuous"/>
      <protection/>
    </xf>
    <xf numFmtId="0" fontId="5" fillId="0" borderId="0" xfId="285" applyFont="1">
      <alignment/>
      <protection/>
    </xf>
    <xf numFmtId="0" fontId="7" fillId="0" borderId="0" xfId="285" applyFont="1">
      <alignment/>
      <protection/>
    </xf>
    <xf numFmtId="0" fontId="24" fillId="0" borderId="0" xfId="285" applyFont="1">
      <alignment/>
      <protection/>
    </xf>
    <xf numFmtId="0" fontId="2" fillId="0" borderId="1" xfId="285" applyFont="1" applyBorder="1" applyAlignment="1">
      <alignment horizontal="center" vertical="center" wrapText="1"/>
      <protection/>
    </xf>
    <xf numFmtId="0" fontId="5" fillId="0" borderId="1" xfId="285" applyFont="1" applyBorder="1" applyAlignment="1">
      <alignment horizontal="center" vertical="center" wrapText="1"/>
      <protection/>
    </xf>
    <xf numFmtId="0" fontId="5" fillId="0" borderId="0" xfId="285" applyFont="1" applyAlignment="1">
      <alignment vertical="center"/>
      <protection/>
    </xf>
    <xf numFmtId="3" fontId="5" fillId="0" borderId="0" xfId="285" applyNumberFormat="1" applyFont="1">
      <alignment/>
      <protection/>
    </xf>
    <xf numFmtId="3" fontId="7" fillId="0" borderId="0" xfId="301" applyNumberFormat="1" applyFont="1" applyFill="1">
      <alignment/>
      <protection/>
    </xf>
    <xf numFmtId="0" fontId="23" fillId="0" borderId="0" xfId="303" applyFont="1" applyBorder="1" applyAlignment="1">
      <alignment/>
      <protection/>
    </xf>
    <xf numFmtId="3" fontId="5" fillId="0" borderId="40" xfId="303" applyNumberFormat="1" applyFont="1" applyBorder="1">
      <alignment/>
      <protection/>
    </xf>
    <xf numFmtId="0" fontId="2" fillId="0" borderId="19" xfId="300" applyFont="1" applyBorder="1" applyAlignment="1">
      <alignment horizontal="center"/>
      <protection/>
    </xf>
    <xf numFmtId="227" fontId="5" fillId="0" borderId="0" xfId="147" applyNumberFormat="1" applyFont="1" applyAlignment="1">
      <alignment/>
    </xf>
    <xf numFmtId="0" fontId="2" fillId="0" borderId="0" xfId="285" applyNumberFormat="1" applyFont="1" applyAlignment="1">
      <alignment horizontal="centerContinuous"/>
      <protection/>
    </xf>
    <xf numFmtId="0" fontId="2" fillId="0" borderId="0" xfId="285" applyFont="1" applyAlignment="1">
      <alignment horizontal="centerContinuous"/>
      <protection/>
    </xf>
    <xf numFmtId="0" fontId="5" fillId="0" borderId="0" xfId="285" applyFont="1" applyFill="1" applyAlignment="1">
      <alignment horizontal="centerContinuous"/>
      <protection/>
    </xf>
    <xf numFmtId="0" fontId="3" fillId="0" borderId="0" xfId="285" applyNumberFormat="1" applyFont="1" applyAlignment="1">
      <alignment horizontal="left"/>
      <protection/>
    </xf>
    <xf numFmtId="0" fontId="3" fillId="0" borderId="0" xfId="285" applyFont="1" applyAlignment="1">
      <alignment horizontal="left"/>
      <protection/>
    </xf>
    <xf numFmtId="0" fontId="5" fillId="0" borderId="0" xfId="285" applyFont="1" applyFill="1">
      <alignment/>
      <protection/>
    </xf>
    <xf numFmtId="0" fontId="3" fillId="0" borderId="0" xfId="285" applyFont="1" applyBorder="1" applyAlignment="1">
      <alignment horizontal="center"/>
      <protection/>
    </xf>
    <xf numFmtId="0" fontId="2" fillId="0" borderId="1" xfId="285" applyFont="1" applyBorder="1" applyAlignment="1">
      <alignment horizontal="center" vertical="center"/>
      <protection/>
    </xf>
    <xf numFmtId="0" fontId="5" fillId="0" borderId="1" xfId="285" applyNumberFormat="1" applyFont="1" applyBorder="1" applyAlignment="1">
      <alignment horizontal="center" vertical="center"/>
      <protection/>
    </xf>
    <xf numFmtId="0" fontId="5" fillId="0" borderId="1" xfId="285" applyFont="1" applyBorder="1" applyAlignment="1">
      <alignment horizontal="center" vertical="center"/>
      <protection/>
    </xf>
    <xf numFmtId="0" fontId="5" fillId="0" borderId="1" xfId="285" applyFont="1" applyFill="1" applyBorder="1" applyAlignment="1" quotePrefix="1">
      <alignment horizontal="center" vertical="center"/>
      <protection/>
    </xf>
    <xf numFmtId="0" fontId="5" fillId="0" borderId="1" xfId="285" applyFont="1" applyBorder="1" applyAlignment="1" quotePrefix="1">
      <alignment horizontal="center" vertical="center"/>
      <protection/>
    </xf>
    <xf numFmtId="0" fontId="5" fillId="0" borderId="19" xfId="285" applyNumberFormat="1" applyFont="1" applyBorder="1" applyAlignment="1">
      <alignment horizontal="center" vertical="center"/>
      <protection/>
    </xf>
    <xf numFmtId="0" fontId="5" fillId="0" borderId="35" xfId="285" applyNumberFormat="1" applyFont="1" applyBorder="1" applyAlignment="1">
      <alignment horizontal="center" vertical="center" wrapText="1"/>
      <protection/>
    </xf>
    <xf numFmtId="0" fontId="5" fillId="0" borderId="35" xfId="285" applyFont="1" applyBorder="1" applyAlignment="1">
      <alignment vertical="center" wrapText="1"/>
      <protection/>
    </xf>
    <xf numFmtId="0" fontId="5" fillId="0" borderId="35" xfId="285" applyFont="1" applyBorder="1" applyAlignment="1">
      <alignment horizontal="left" vertical="center" wrapText="1"/>
      <protection/>
    </xf>
    <xf numFmtId="0" fontId="5" fillId="0" borderId="35" xfId="285" applyNumberFormat="1" applyFont="1" applyFill="1" applyBorder="1" applyAlignment="1">
      <alignment horizontal="center" vertical="center" wrapText="1"/>
      <protection/>
    </xf>
    <xf numFmtId="0" fontId="5" fillId="0" borderId="35" xfId="285" applyFont="1" applyFill="1" applyBorder="1" applyAlignment="1">
      <alignment vertical="center" wrapText="1"/>
      <protection/>
    </xf>
    <xf numFmtId="0" fontId="2" fillId="0" borderId="35" xfId="285" applyNumberFormat="1" applyFont="1" applyBorder="1" applyAlignment="1">
      <alignment horizontal="center" vertical="center" wrapText="1"/>
      <protection/>
    </xf>
    <xf numFmtId="0" fontId="2" fillId="0" borderId="35" xfId="285" applyFont="1" applyBorder="1" applyAlignment="1">
      <alignment horizontal="justify" vertical="center" wrapText="1"/>
      <protection/>
    </xf>
    <xf numFmtId="0" fontId="2" fillId="0" borderId="0" xfId="285" applyFont="1">
      <alignment/>
      <protection/>
    </xf>
    <xf numFmtId="0" fontId="5" fillId="0" borderId="37" xfId="285" applyNumberFormat="1" applyFont="1" applyBorder="1">
      <alignment/>
      <protection/>
    </xf>
    <xf numFmtId="0" fontId="5" fillId="0" borderId="37" xfId="285" applyFont="1" applyBorder="1" applyAlignment="1">
      <alignment vertical="center" wrapText="1"/>
      <protection/>
    </xf>
    <xf numFmtId="0" fontId="5" fillId="0" borderId="37" xfId="285" applyFont="1" applyBorder="1">
      <alignment/>
      <protection/>
    </xf>
    <xf numFmtId="0" fontId="5" fillId="0" borderId="37" xfId="285" applyFont="1" applyFill="1" applyBorder="1">
      <alignment/>
      <protection/>
    </xf>
    <xf numFmtId="0" fontId="7" fillId="0" borderId="0" xfId="285" applyFont="1" applyFill="1">
      <alignment/>
      <protection/>
    </xf>
    <xf numFmtId="0" fontId="5" fillId="0" borderId="0" xfId="285" applyNumberFormat="1" applyFont="1">
      <alignment/>
      <protection/>
    </xf>
    <xf numFmtId="3" fontId="5" fillId="0" borderId="35" xfId="285" applyNumberFormat="1" applyFont="1" applyBorder="1" applyAlignment="1">
      <alignment vertical="center"/>
      <protection/>
    </xf>
    <xf numFmtId="3" fontId="5" fillId="0" borderId="35" xfId="285" applyNumberFormat="1" applyFont="1" applyBorder="1">
      <alignment/>
      <protection/>
    </xf>
    <xf numFmtId="0" fontId="25" fillId="0" borderId="1" xfId="0" applyFont="1" applyFill="1" applyBorder="1" applyAlignment="1">
      <alignment horizontal="center" vertical="center" wrapText="1"/>
    </xf>
    <xf numFmtId="3" fontId="7" fillId="0" borderId="0" xfId="290" applyNumberFormat="1" applyFont="1">
      <alignment/>
      <protection/>
    </xf>
    <xf numFmtId="3" fontId="160" fillId="0" borderId="35" xfId="0" applyNumberFormat="1" applyFont="1" applyFill="1" applyBorder="1" applyAlignment="1">
      <alignment horizontal="right" vertical="center" wrapText="1"/>
    </xf>
    <xf numFmtId="0" fontId="22" fillId="0" borderId="32" xfId="301" applyFont="1" applyBorder="1" applyAlignment="1">
      <alignment horizontal="center" vertical="center" wrapText="1"/>
      <protection/>
    </xf>
    <xf numFmtId="0" fontId="37" fillId="0" borderId="32" xfId="301" applyFont="1" applyBorder="1" applyAlignment="1">
      <alignment vertical="center" wrapText="1"/>
      <protection/>
    </xf>
    <xf numFmtId="3" fontId="5" fillId="0" borderId="35" xfId="285" applyNumberFormat="1" applyFont="1" applyFill="1" applyBorder="1">
      <alignment/>
      <protection/>
    </xf>
    <xf numFmtId="3" fontId="2" fillId="0" borderId="35" xfId="285" applyNumberFormat="1" applyFont="1" applyBorder="1" applyAlignment="1">
      <alignment vertical="center"/>
      <protection/>
    </xf>
    <xf numFmtId="3" fontId="2" fillId="0" borderId="35" xfId="285" applyNumberFormat="1" applyFont="1" applyFill="1" applyBorder="1">
      <alignment/>
      <protection/>
    </xf>
    <xf numFmtId="3" fontId="2" fillId="0" borderId="35" xfId="285" applyNumberFormat="1" applyFont="1" applyBorder="1">
      <alignment/>
      <protection/>
    </xf>
    <xf numFmtId="3" fontId="2" fillId="0" borderId="35" xfId="285" applyNumberFormat="1" applyFont="1" applyBorder="1" applyAlignment="1">
      <alignment vertical="center" wrapText="1"/>
      <protection/>
    </xf>
    <xf numFmtId="3" fontId="2" fillId="0" borderId="35" xfId="285" applyNumberFormat="1" applyFont="1" applyFill="1" applyBorder="1" applyAlignment="1">
      <alignment vertical="center" wrapText="1"/>
      <protection/>
    </xf>
    <xf numFmtId="0" fontId="23" fillId="0" borderId="0" xfId="0" applyFont="1" applyFill="1" applyBorder="1" applyAlignment="1">
      <alignment horizontal="right"/>
    </xf>
    <xf numFmtId="0" fontId="2" fillId="0" borderId="32" xfId="0" applyFont="1" applyFill="1" applyBorder="1" applyAlignment="1">
      <alignment horizontal="center" vertical="center" wrapText="1"/>
    </xf>
    <xf numFmtId="3" fontId="5" fillId="0" borderId="19" xfId="0" applyNumberFormat="1" applyFont="1" applyFill="1" applyBorder="1" applyAlignment="1">
      <alignment vertical="center" wrapText="1"/>
    </xf>
    <xf numFmtId="3" fontId="5" fillId="0" borderId="41" xfId="0" applyNumberFormat="1" applyFont="1" applyFill="1" applyBorder="1" applyAlignment="1">
      <alignment vertical="center" wrapText="1"/>
    </xf>
    <xf numFmtId="3" fontId="5" fillId="0" borderId="27" xfId="0" applyNumberFormat="1" applyFont="1" applyFill="1" applyBorder="1" applyAlignment="1">
      <alignment vertical="center" wrapText="1"/>
    </xf>
    <xf numFmtId="3" fontId="5" fillId="0" borderId="0" xfId="0" applyNumberFormat="1" applyFont="1" applyFill="1" applyBorder="1" applyAlignment="1">
      <alignment vertical="center" wrapText="1"/>
    </xf>
    <xf numFmtId="0" fontId="2" fillId="0" borderId="35" xfId="0" applyFont="1" applyFill="1" applyBorder="1" applyAlignment="1" quotePrefix="1">
      <alignment horizontal="center" vertical="center" wrapText="1"/>
    </xf>
    <xf numFmtId="3" fontId="3" fillId="0" borderId="0" xfId="0" applyNumberFormat="1" applyFont="1" applyFill="1" applyBorder="1" applyAlignment="1">
      <alignment vertical="center" wrapText="1"/>
    </xf>
    <xf numFmtId="3" fontId="2" fillId="0" borderId="27" xfId="0" applyNumberFormat="1" applyFont="1" applyFill="1" applyBorder="1" applyAlignment="1">
      <alignment vertical="center" wrapText="1"/>
    </xf>
    <xf numFmtId="3" fontId="2" fillId="0" borderId="0" xfId="0" applyNumberFormat="1" applyFont="1" applyFill="1" applyBorder="1" applyAlignment="1">
      <alignment vertical="center" wrapText="1"/>
    </xf>
    <xf numFmtId="0" fontId="34" fillId="0" borderId="35" xfId="0" applyFont="1" applyFill="1" applyBorder="1" applyAlignment="1">
      <alignment horizontal="center" vertical="center" wrapText="1"/>
    </xf>
    <xf numFmtId="3" fontId="34" fillId="0" borderId="0" xfId="0" applyNumberFormat="1" applyFont="1" applyFill="1" applyBorder="1" applyAlignment="1">
      <alignment vertical="center" wrapText="1"/>
    </xf>
    <xf numFmtId="174" fontId="5" fillId="0" borderId="35" xfId="0" applyNumberFormat="1" applyFont="1" applyFill="1" applyBorder="1" applyAlignment="1">
      <alignment vertical="center" wrapText="1"/>
    </xf>
    <xf numFmtId="174" fontId="5" fillId="0" borderId="0" xfId="0" applyNumberFormat="1" applyFont="1" applyFill="1" applyBorder="1" applyAlignment="1">
      <alignment vertical="center" wrapText="1"/>
    </xf>
    <xf numFmtId="0" fontId="30" fillId="0" borderId="35" xfId="0" applyFont="1" applyFill="1" applyBorder="1" applyAlignment="1">
      <alignment horizontal="center" vertical="center" wrapText="1"/>
    </xf>
    <xf numFmtId="174" fontId="5" fillId="0" borderId="27" xfId="0" applyNumberFormat="1" applyFont="1" applyFill="1" applyBorder="1" applyAlignment="1">
      <alignment vertical="center" wrapText="1"/>
    </xf>
    <xf numFmtId="0" fontId="2" fillId="0" borderId="27" xfId="0" applyFont="1" applyFill="1" applyBorder="1" applyAlignment="1">
      <alignment vertical="center" wrapText="1"/>
    </xf>
    <xf numFmtId="0" fontId="3" fillId="0" borderId="35" xfId="300" applyFont="1" applyBorder="1" applyAlignment="1">
      <alignment horizontal="center" vertical="center"/>
      <protection/>
    </xf>
    <xf numFmtId="3" fontId="30" fillId="0" borderId="19" xfId="285" applyNumberFormat="1" applyFont="1" applyFill="1" applyBorder="1" applyAlignment="1">
      <alignment horizontal="right" vertical="center"/>
      <protection/>
    </xf>
    <xf numFmtId="3" fontId="30" fillId="0" borderId="19" xfId="285" applyNumberFormat="1" applyFont="1" applyBorder="1" applyAlignment="1">
      <alignment horizontal="right" vertical="center"/>
      <protection/>
    </xf>
    <xf numFmtId="3" fontId="7" fillId="68" borderId="0" xfId="0" applyNumberFormat="1" applyFont="1" applyFill="1" applyAlignment="1">
      <alignment/>
    </xf>
    <xf numFmtId="0" fontId="7" fillId="0" borderId="32" xfId="301" applyFont="1" applyBorder="1" applyAlignment="1">
      <alignment vertical="center" wrapText="1"/>
      <protection/>
    </xf>
    <xf numFmtId="0" fontId="2" fillId="0" borderId="1" xfId="0" applyFont="1" applyFill="1" applyBorder="1" applyAlignment="1">
      <alignment horizontal="center" vertical="center" wrapText="1"/>
    </xf>
    <xf numFmtId="3" fontId="22" fillId="0" borderId="32" xfId="0" applyNumberFormat="1" applyFont="1" applyFill="1" applyBorder="1" applyAlignment="1">
      <alignment horizontal="right" vertical="center" wrapText="1"/>
    </xf>
    <xf numFmtId="0" fontId="7" fillId="0" borderId="37" xfId="0" applyFont="1" applyFill="1" applyBorder="1" applyAlignment="1">
      <alignment horizontal="right" vertical="center" wrapText="1"/>
    </xf>
    <xf numFmtId="0" fontId="23" fillId="0" borderId="0" xfId="0" applyFont="1" applyFill="1" applyAlignment="1">
      <alignment horizontal="center"/>
    </xf>
    <xf numFmtId="175" fontId="2" fillId="0" borderId="32" xfId="0" applyNumberFormat="1" applyFont="1" applyFill="1" applyBorder="1" applyAlignment="1">
      <alignment vertical="center" wrapText="1"/>
    </xf>
    <xf numFmtId="175" fontId="3" fillId="0" borderId="35" xfId="0" applyNumberFormat="1" applyFont="1" applyFill="1" applyBorder="1" applyAlignment="1">
      <alignment vertical="center" wrapText="1"/>
    </xf>
    <xf numFmtId="175" fontId="30" fillId="0" borderId="35" xfId="0" applyNumberFormat="1" applyFont="1" applyFill="1" applyBorder="1" applyAlignment="1">
      <alignment vertical="center" wrapText="1"/>
    </xf>
    <xf numFmtId="175" fontId="5" fillId="0" borderId="37" xfId="0" applyNumberFormat="1" applyFont="1" applyFill="1" applyBorder="1" applyAlignment="1">
      <alignment vertical="center" wrapText="1"/>
    </xf>
    <xf numFmtId="0" fontId="25" fillId="0" borderId="1" xfId="0" applyFont="1" applyFill="1" applyBorder="1" applyAlignment="1">
      <alignment horizontal="center" vertical="center"/>
    </xf>
    <xf numFmtId="10" fontId="7" fillId="0" borderId="35" xfId="0" applyNumberFormat="1" applyFont="1" applyFill="1" applyBorder="1" applyAlignment="1">
      <alignment vertical="center" wrapText="1"/>
    </xf>
    <xf numFmtId="0" fontId="5" fillId="0" borderId="0" xfId="301" applyFont="1" applyFill="1" applyAlignment="1">
      <alignment horizontal="centerContinuous"/>
      <protection/>
    </xf>
    <xf numFmtId="0" fontId="23" fillId="0" borderId="0" xfId="301" applyFont="1" applyFill="1" applyAlignment="1">
      <alignment horizontal="center"/>
      <protection/>
    </xf>
    <xf numFmtId="0" fontId="25" fillId="0" borderId="1" xfId="301" applyFont="1" applyFill="1" applyBorder="1" applyAlignment="1">
      <alignment horizontal="center" vertical="center" wrapText="1"/>
      <protection/>
    </xf>
    <xf numFmtId="3" fontId="7" fillId="0" borderId="32" xfId="301" applyNumberFormat="1" applyFont="1" applyFill="1" applyBorder="1" applyAlignment="1">
      <alignment vertical="center" wrapText="1"/>
      <protection/>
    </xf>
    <xf numFmtId="3" fontId="7" fillId="0" borderId="35" xfId="301" applyNumberFormat="1" applyFont="1" applyFill="1" applyBorder="1" applyAlignment="1">
      <alignment vertical="center" wrapText="1"/>
      <protection/>
    </xf>
    <xf numFmtId="0" fontId="7" fillId="0" borderId="37" xfId="301" applyFont="1" applyFill="1" applyBorder="1" applyAlignment="1">
      <alignment vertical="center" wrapText="1"/>
      <protection/>
    </xf>
    <xf numFmtId="0" fontId="5" fillId="0" borderId="0" xfId="301" applyFont="1" applyFill="1">
      <alignment/>
      <protection/>
    </xf>
    <xf numFmtId="0" fontId="2" fillId="0" borderId="0" xfId="0" applyFont="1" applyFill="1" applyAlignment="1">
      <alignment horizontal="right"/>
    </xf>
    <xf numFmtId="175" fontId="2" fillId="0" borderId="37" xfId="0" applyNumberFormat="1" applyFont="1" applyFill="1" applyBorder="1" applyAlignment="1">
      <alignment vertical="center" wrapText="1"/>
    </xf>
    <xf numFmtId="0" fontId="5" fillId="0" borderId="0" xfId="300" applyFont="1" applyFill="1" applyAlignment="1">
      <alignment horizontal="right"/>
      <protection/>
    </xf>
    <xf numFmtId="0" fontId="3" fillId="0" borderId="0" xfId="300" applyFont="1" applyFill="1" applyBorder="1" applyAlignment="1">
      <alignment horizontal="right"/>
      <protection/>
    </xf>
    <xf numFmtId="0" fontId="2" fillId="0" borderId="1" xfId="300" applyFont="1" applyFill="1" applyBorder="1" applyAlignment="1">
      <alignment horizontal="center" vertical="center"/>
      <protection/>
    </xf>
    <xf numFmtId="3" fontId="2" fillId="0" borderId="19" xfId="300" applyNumberFormat="1" applyFont="1" applyFill="1" applyBorder="1" applyAlignment="1">
      <alignment horizontal="right"/>
      <protection/>
    </xf>
    <xf numFmtId="3" fontId="2" fillId="0" borderId="35" xfId="300" applyNumberFormat="1" applyFont="1" applyFill="1" applyBorder="1" applyAlignment="1">
      <alignment horizontal="right"/>
      <protection/>
    </xf>
    <xf numFmtId="175" fontId="161" fillId="0" borderId="35" xfId="0" applyNumberFormat="1" applyFont="1" applyFill="1" applyBorder="1" applyAlignment="1">
      <alignment vertical="center" wrapText="1"/>
    </xf>
    <xf numFmtId="0" fontId="24" fillId="0" borderId="35" xfId="0" applyFont="1" applyBorder="1" applyAlignment="1">
      <alignment vertical="center" wrapText="1"/>
    </xf>
    <xf numFmtId="0" fontId="22" fillId="0" borderId="32" xfId="304" applyFont="1" applyBorder="1" applyAlignment="1">
      <alignment horizontal="center" vertical="center" wrapText="1"/>
      <protection/>
    </xf>
    <xf numFmtId="3" fontId="22" fillId="0" borderId="32" xfId="304" applyNumberFormat="1" applyFont="1" applyBorder="1" applyAlignment="1">
      <alignment vertical="center" wrapText="1"/>
      <protection/>
    </xf>
    <xf numFmtId="0" fontId="22" fillId="0" borderId="35" xfId="304" applyFont="1" applyBorder="1" applyAlignment="1">
      <alignment horizontal="center" vertical="center" wrapText="1"/>
      <protection/>
    </xf>
    <xf numFmtId="0" fontId="22" fillId="0" borderId="35" xfId="304" applyFont="1" applyBorder="1" applyAlignment="1">
      <alignment vertical="center" wrapText="1"/>
      <protection/>
    </xf>
    <xf numFmtId="3" fontId="22" fillId="0" borderId="35" xfId="304" applyNumberFormat="1" applyFont="1" applyBorder="1" applyAlignment="1">
      <alignment vertical="center" wrapText="1"/>
      <protection/>
    </xf>
    <xf numFmtId="3" fontId="22" fillId="0" borderId="35" xfId="304" applyNumberFormat="1" applyFont="1" applyFill="1" applyBorder="1" applyAlignment="1">
      <alignment vertical="center" wrapText="1"/>
      <protection/>
    </xf>
    <xf numFmtId="3" fontId="7" fillId="0" borderId="35" xfId="304" applyNumberFormat="1" applyFont="1" applyBorder="1" applyAlignment="1">
      <alignment vertical="center" wrapText="1"/>
      <protection/>
    </xf>
    <xf numFmtId="3" fontId="7" fillId="0" borderId="35" xfId="304" applyNumberFormat="1" applyFont="1" applyFill="1" applyBorder="1" applyAlignment="1">
      <alignment vertical="center" wrapText="1"/>
      <protection/>
    </xf>
    <xf numFmtId="0" fontId="23" fillId="0" borderId="35" xfId="304" applyFont="1" applyBorder="1" applyAlignment="1">
      <alignment horizontal="center" vertical="center" wrapText="1"/>
      <protection/>
    </xf>
    <xf numFmtId="49" fontId="23" fillId="0" borderId="35" xfId="304" applyNumberFormat="1" applyFont="1" applyBorder="1" applyAlignment="1">
      <alignment vertical="center" wrapText="1"/>
      <protection/>
    </xf>
    <xf numFmtId="3" fontId="23" fillId="0" borderId="35" xfId="304" applyNumberFormat="1" applyFont="1" applyBorder="1" applyAlignment="1">
      <alignment vertical="center" wrapText="1"/>
      <protection/>
    </xf>
    <xf numFmtId="3" fontId="23" fillId="0" borderId="35" xfId="304" applyNumberFormat="1" applyFont="1" applyFill="1" applyBorder="1" applyAlignment="1">
      <alignment vertical="center" wrapText="1"/>
      <protection/>
    </xf>
    <xf numFmtId="0" fontId="23" fillId="0" borderId="35" xfId="304" applyFont="1" applyBorder="1" applyAlignment="1" quotePrefix="1">
      <alignment horizontal="center" vertical="center" wrapText="1"/>
      <protection/>
    </xf>
    <xf numFmtId="0" fontId="23" fillId="0" borderId="35" xfId="304" applyFont="1" applyBorder="1" applyAlignment="1">
      <alignment vertical="center" wrapText="1"/>
      <protection/>
    </xf>
    <xf numFmtId="0" fontId="22" fillId="0" borderId="35" xfId="304" applyFont="1" applyBorder="1" applyAlignment="1" quotePrefix="1">
      <alignment horizontal="center" vertical="center" wrapText="1"/>
      <protection/>
    </xf>
    <xf numFmtId="49" fontId="7" fillId="0" borderId="35" xfId="304" applyNumberFormat="1" applyFont="1" applyBorder="1" applyAlignment="1">
      <alignment vertical="center" wrapText="1"/>
      <protection/>
    </xf>
    <xf numFmtId="0" fontId="7" fillId="0" borderId="35" xfId="304" applyFont="1" applyBorder="1">
      <alignment/>
      <protection/>
    </xf>
    <xf numFmtId="3" fontId="7" fillId="0" borderId="35" xfId="304" applyNumberFormat="1" applyFont="1" applyFill="1" applyBorder="1">
      <alignment/>
      <protection/>
    </xf>
    <xf numFmtId="0" fontId="7" fillId="0" borderId="35" xfId="304" applyFont="1" applyBorder="1" applyAlignment="1">
      <alignment horizontal="center" vertical="center" wrapText="1"/>
      <protection/>
    </xf>
    <xf numFmtId="0" fontId="7" fillId="0" borderId="35" xfId="304" applyFont="1" applyBorder="1" applyAlignment="1">
      <alignment vertical="center" wrapText="1"/>
      <protection/>
    </xf>
    <xf numFmtId="3" fontId="7" fillId="0" borderId="35" xfId="304" applyNumberFormat="1" applyFont="1" applyBorder="1" applyAlignment="1">
      <alignment vertical="center" wrapText="1"/>
      <protection/>
    </xf>
    <xf numFmtId="3" fontId="7" fillId="0" borderId="35" xfId="304" applyNumberFormat="1" applyFont="1" applyFill="1" applyBorder="1" applyAlignment="1">
      <alignment vertical="center" wrapText="1"/>
      <protection/>
    </xf>
    <xf numFmtId="0" fontId="22" fillId="0" borderId="35" xfId="304" applyFont="1" applyBorder="1" applyAlignment="1">
      <alignment horizontal="center" vertical="center" wrapText="1"/>
      <protection/>
    </xf>
    <xf numFmtId="0" fontId="22" fillId="0" borderId="35" xfId="304" applyFont="1" applyBorder="1" applyAlignment="1">
      <alignment vertical="center" wrapText="1"/>
      <protection/>
    </xf>
    <xf numFmtId="3" fontId="22" fillId="0" borderId="35" xfId="304" applyNumberFormat="1" applyFont="1" applyFill="1" applyBorder="1" applyAlignment="1">
      <alignment vertical="center" wrapText="1"/>
      <protection/>
    </xf>
    <xf numFmtId="3" fontId="22" fillId="0" borderId="36" xfId="0" applyNumberFormat="1" applyFont="1" applyBorder="1" applyAlignment="1">
      <alignment vertical="center" wrapText="1"/>
    </xf>
    <xf numFmtId="3" fontId="22" fillId="0" borderId="36" xfId="0" applyNumberFormat="1" applyFont="1" applyFill="1" applyBorder="1" applyAlignment="1">
      <alignment vertical="center" wrapText="1"/>
    </xf>
    <xf numFmtId="4" fontId="22" fillId="0" borderId="32" xfId="0" applyNumberFormat="1" applyFont="1" applyBorder="1" applyAlignment="1">
      <alignment horizontal="right" vertical="center" wrapText="1"/>
    </xf>
    <xf numFmtId="4" fontId="22" fillId="0" borderId="35" xfId="0" applyNumberFormat="1" applyFont="1" applyBorder="1" applyAlignment="1">
      <alignment vertical="center" wrapText="1"/>
    </xf>
    <xf numFmtId="4" fontId="22" fillId="0" borderId="35" xfId="0" applyNumberFormat="1" applyFont="1" applyBorder="1" applyAlignment="1">
      <alignment/>
    </xf>
    <xf numFmtId="0" fontId="22" fillId="0" borderId="0" xfId="0" applyFont="1" applyAlignment="1">
      <alignment/>
    </xf>
    <xf numFmtId="0" fontId="23" fillId="0" borderId="35" xfId="304" applyFont="1" applyBorder="1" applyAlignment="1">
      <alignment horizontal="center" vertical="center" wrapText="1"/>
      <protection/>
    </xf>
    <xf numFmtId="0" fontId="23" fillId="0" borderId="35" xfId="304" applyFont="1" applyBorder="1" applyAlignment="1">
      <alignment vertical="center" wrapText="1"/>
      <protection/>
    </xf>
    <xf numFmtId="3" fontId="23" fillId="0" borderId="35" xfId="304" applyNumberFormat="1" applyFont="1" applyFill="1" applyBorder="1" applyAlignment="1">
      <alignment vertical="center" wrapText="1"/>
      <protection/>
    </xf>
    <xf numFmtId="3" fontId="23" fillId="0" borderId="36" xfId="0" applyNumberFormat="1" applyFont="1" applyBorder="1" applyAlignment="1">
      <alignment vertical="center" wrapText="1"/>
    </xf>
    <xf numFmtId="4" fontId="23" fillId="0" borderId="32" xfId="0" applyNumberFormat="1" applyFont="1" applyBorder="1" applyAlignment="1">
      <alignment horizontal="right" vertical="center" wrapText="1"/>
    </xf>
    <xf numFmtId="4" fontId="23" fillId="0" borderId="35" xfId="0" applyNumberFormat="1" applyFont="1" applyBorder="1" applyAlignment="1">
      <alignment vertical="center" wrapText="1"/>
    </xf>
    <xf numFmtId="4" fontId="23" fillId="0" borderId="35" xfId="0" applyNumberFormat="1" applyFont="1" applyBorder="1" applyAlignment="1">
      <alignment/>
    </xf>
    <xf numFmtId="3" fontId="23" fillId="0" borderId="36" xfId="0" applyNumberFormat="1" applyFont="1" applyFill="1" applyBorder="1" applyAlignment="1">
      <alignment vertical="center" wrapText="1"/>
    </xf>
    <xf numFmtId="3" fontId="22" fillId="0" borderId="35" xfId="304" applyNumberFormat="1" applyFont="1" applyBorder="1" applyAlignment="1">
      <alignment vertical="center" wrapText="1"/>
      <protection/>
    </xf>
    <xf numFmtId="3" fontId="22" fillId="0" borderId="37" xfId="304" applyNumberFormat="1" applyFont="1" applyFill="1" applyBorder="1" applyAlignment="1">
      <alignment horizontal="center" vertical="center" wrapText="1"/>
      <protection/>
    </xf>
    <xf numFmtId="3" fontId="22" fillId="0" borderId="37" xfId="304" applyNumberFormat="1" applyFont="1" applyFill="1" applyBorder="1" applyAlignment="1">
      <alignment vertical="center" wrapText="1"/>
      <protection/>
    </xf>
    <xf numFmtId="4" fontId="22" fillId="0" borderId="37" xfId="0" applyNumberFormat="1" applyFont="1" applyBorder="1" applyAlignment="1">
      <alignment/>
    </xf>
    <xf numFmtId="0" fontId="2" fillId="0" borderId="35" xfId="290" applyFont="1" applyFill="1" applyBorder="1" applyAlignment="1">
      <alignment horizontal="center" vertical="center" wrapText="1"/>
      <protection/>
    </xf>
    <xf numFmtId="228" fontId="2" fillId="0" borderId="35" xfId="290" applyNumberFormat="1" applyFont="1" applyFill="1" applyBorder="1" applyAlignment="1">
      <alignment vertical="center" wrapText="1"/>
      <protection/>
    </xf>
    <xf numFmtId="0" fontId="5" fillId="0" borderId="35" xfId="290" applyFont="1" applyFill="1" applyBorder="1" applyAlignment="1">
      <alignment horizontal="center" vertical="center" wrapText="1"/>
      <protection/>
    </xf>
    <xf numFmtId="228" fontId="5" fillId="0" borderId="35" xfId="290" applyNumberFormat="1" applyFont="1" applyFill="1" applyBorder="1" applyAlignment="1">
      <alignment vertical="center" wrapText="1"/>
      <protection/>
    </xf>
    <xf numFmtId="0" fontId="3" fillId="0" borderId="35" xfId="290" applyFont="1" applyFill="1" applyBorder="1" applyAlignment="1">
      <alignment horizontal="center" vertical="center" wrapText="1"/>
      <protection/>
    </xf>
    <xf numFmtId="228" fontId="3" fillId="0" borderId="35" xfId="290" applyNumberFormat="1" applyFont="1" applyFill="1" applyBorder="1" applyAlignment="1">
      <alignment vertical="center" wrapText="1"/>
      <protection/>
    </xf>
    <xf numFmtId="228" fontId="25" fillId="0" borderId="35" xfId="290" applyNumberFormat="1" applyFont="1" applyFill="1" applyBorder="1" applyAlignment="1">
      <alignment vertical="center" wrapText="1"/>
      <protection/>
    </xf>
    <xf numFmtId="228" fontId="8" fillId="0" borderId="35" xfId="290" applyNumberFormat="1" applyFont="1" applyFill="1" applyBorder="1" applyAlignment="1">
      <alignment vertical="center" wrapText="1"/>
      <protection/>
    </xf>
    <xf numFmtId="0" fontId="5" fillId="0" borderId="35" xfId="300" applyFont="1" applyBorder="1" applyAlignment="1">
      <alignment wrapText="1"/>
      <protection/>
    </xf>
    <xf numFmtId="3" fontId="5" fillId="0" borderId="35" xfId="300" applyNumberFormat="1" applyFont="1" applyFill="1" applyBorder="1" applyAlignment="1">
      <alignment horizontal="right"/>
      <protection/>
    </xf>
    <xf numFmtId="3" fontId="5" fillId="0" borderId="37" xfId="300" applyNumberFormat="1" applyFont="1" applyFill="1" applyBorder="1" applyAlignment="1">
      <alignment horizontal="right"/>
      <protection/>
    </xf>
    <xf numFmtId="173" fontId="162" fillId="0" borderId="35" xfId="165" applyNumberFormat="1" applyFont="1" applyBorder="1" applyAlignment="1">
      <alignment vertical="center" wrapText="1"/>
    </xf>
    <xf numFmtId="0" fontId="2" fillId="0" borderId="33" xfId="300" applyFont="1" applyBorder="1" applyAlignment="1">
      <alignment horizontal="center" vertical="center"/>
      <protection/>
    </xf>
    <xf numFmtId="0" fontId="2" fillId="0" borderId="19" xfId="300" applyFont="1" applyFill="1" applyBorder="1" applyAlignment="1">
      <alignment horizontal="center" vertical="center" wrapText="1"/>
      <protection/>
    </xf>
    <xf numFmtId="3" fontId="22" fillId="0" borderId="37" xfId="304" applyNumberFormat="1" applyFont="1" applyBorder="1" applyAlignment="1">
      <alignment vertical="center" wrapText="1"/>
      <protection/>
    </xf>
    <xf numFmtId="0" fontId="2" fillId="0" borderId="35" xfId="285" applyNumberFormat="1" applyFont="1" applyFill="1" applyBorder="1" applyAlignment="1">
      <alignment horizontal="center" vertical="center" wrapText="1"/>
      <protection/>
    </xf>
    <xf numFmtId="0" fontId="2" fillId="0" borderId="0" xfId="285" applyFont="1" applyFill="1">
      <alignment/>
      <protection/>
    </xf>
    <xf numFmtId="1" fontId="5" fillId="0" borderId="35" xfId="0" applyNumberFormat="1" applyFont="1" applyFill="1" applyBorder="1" applyAlignment="1">
      <alignment vertical="center" wrapText="1"/>
    </xf>
    <xf numFmtId="0" fontId="3" fillId="0" borderId="0" xfId="285" applyNumberFormat="1" applyFont="1">
      <alignment/>
      <protection/>
    </xf>
    <xf numFmtId="0" fontId="3" fillId="0" borderId="0" xfId="285" applyFont="1">
      <alignment/>
      <protection/>
    </xf>
    <xf numFmtId="0" fontId="30" fillId="0" borderId="19" xfId="285" applyFont="1" applyBorder="1" applyAlignment="1">
      <alignment horizontal="center" vertical="center" wrapText="1"/>
      <protection/>
    </xf>
    <xf numFmtId="0" fontId="2" fillId="0" borderId="35" xfId="285" applyFont="1" applyBorder="1" applyAlignment="1">
      <alignment horizontal="center" vertical="center" wrapText="1"/>
      <protection/>
    </xf>
    <xf numFmtId="3" fontId="2" fillId="0" borderId="0" xfId="285" applyNumberFormat="1" applyFont="1" applyFill="1" applyAlignment="1">
      <alignment horizontal="left"/>
      <protection/>
    </xf>
    <xf numFmtId="3" fontId="5" fillId="0" borderId="0" xfId="285" applyNumberFormat="1" applyFont="1" applyFill="1">
      <alignment/>
      <protection/>
    </xf>
    <xf numFmtId="0" fontId="5" fillId="0" borderId="0" xfId="285" applyFont="1" applyFill="1">
      <alignment/>
      <protection/>
    </xf>
    <xf numFmtId="0" fontId="3" fillId="0" borderId="0" xfId="285" applyFont="1" applyFill="1" applyAlignment="1">
      <alignment horizontal="left"/>
      <protection/>
    </xf>
    <xf numFmtId="3" fontId="3" fillId="0" borderId="0" xfId="285" applyNumberFormat="1" applyFont="1" applyFill="1" applyAlignment="1">
      <alignment horizontal="left"/>
      <protection/>
    </xf>
    <xf numFmtId="3" fontId="2" fillId="0" borderId="1" xfId="285" applyNumberFormat="1" applyFont="1" applyFill="1" applyBorder="1" applyAlignment="1">
      <alignment horizontal="center" vertical="center" wrapText="1"/>
      <protection/>
    </xf>
    <xf numFmtId="0" fontId="5" fillId="0" borderId="0" xfId="285" applyFont="1" applyFill="1" applyAlignment="1">
      <alignment/>
      <protection/>
    </xf>
    <xf numFmtId="0" fontId="5" fillId="0" borderId="1" xfId="285" applyFont="1" applyFill="1" applyBorder="1" applyAlignment="1">
      <alignment horizontal="center" vertical="center" wrapText="1"/>
      <protection/>
    </xf>
    <xf numFmtId="0" fontId="5" fillId="0" borderId="0" xfId="285" applyFont="1" applyFill="1" applyAlignment="1">
      <alignment horizontal="center" vertical="center" wrapText="1"/>
      <protection/>
    </xf>
    <xf numFmtId="3" fontId="4" fillId="0" borderId="1" xfId="285" applyNumberFormat="1" applyFont="1" applyFill="1" applyBorder="1" applyAlignment="1">
      <alignment horizontal="center" vertical="center" wrapText="1"/>
      <protection/>
    </xf>
    <xf numFmtId="0" fontId="4" fillId="0" borderId="0" xfId="285" applyFont="1" applyFill="1" applyAlignment="1">
      <alignment vertical="center" wrapText="1"/>
      <protection/>
    </xf>
    <xf numFmtId="0" fontId="4" fillId="0" borderId="0" xfId="285" applyFont="1" applyFill="1" applyAlignment="1">
      <alignment vertical="center"/>
      <protection/>
    </xf>
    <xf numFmtId="0" fontId="2" fillId="0" borderId="32" xfId="285" applyFont="1" applyFill="1" applyBorder="1" applyAlignment="1">
      <alignment horizontal="center" vertical="center" wrapText="1"/>
      <protection/>
    </xf>
    <xf numFmtId="3" fontId="2" fillId="0" borderId="32" xfId="285" applyNumberFormat="1" applyFont="1" applyFill="1" applyBorder="1" applyAlignment="1">
      <alignment vertical="center"/>
      <protection/>
    </xf>
    <xf numFmtId="0" fontId="5" fillId="0" borderId="0" xfId="285" applyFont="1" applyFill="1" applyAlignment="1">
      <alignment vertical="center" wrapText="1"/>
      <protection/>
    </xf>
    <xf numFmtId="0" fontId="30" fillId="0" borderId="35" xfId="285" applyFont="1" applyFill="1" applyBorder="1" applyAlignment="1">
      <alignment horizontal="center" vertical="center" wrapText="1"/>
      <protection/>
    </xf>
    <xf numFmtId="0" fontId="30" fillId="0" borderId="35" xfId="285" applyFont="1" applyFill="1" applyBorder="1" applyAlignment="1">
      <alignment vertical="center" wrapText="1"/>
      <protection/>
    </xf>
    <xf numFmtId="3" fontId="30" fillId="0" borderId="35" xfId="285" applyNumberFormat="1" applyFont="1" applyFill="1" applyBorder="1" applyAlignment="1">
      <alignment vertical="center"/>
      <protection/>
    </xf>
    <xf numFmtId="0" fontId="30" fillId="0" borderId="0" xfId="285" applyFont="1" applyFill="1">
      <alignment/>
      <protection/>
    </xf>
    <xf numFmtId="0" fontId="5" fillId="0" borderId="35" xfId="285" applyFont="1" applyFill="1" applyBorder="1" applyAlignment="1">
      <alignment horizontal="center" vertical="center" wrapText="1"/>
      <protection/>
    </xf>
    <xf numFmtId="0" fontId="5" fillId="0" borderId="35" xfId="285" applyFont="1" applyFill="1" applyBorder="1" applyAlignment="1">
      <alignment vertical="center" wrapText="1"/>
      <protection/>
    </xf>
    <xf numFmtId="3" fontId="5" fillId="0" borderId="35" xfId="285" applyNumberFormat="1" applyFont="1" applyFill="1" applyBorder="1" applyAlignment="1">
      <alignment vertical="center" wrapText="1"/>
      <protection/>
    </xf>
    <xf numFmtId="3" fontId="5" fillId="0" borderId="35" xfId="285" applyNumberFormat="1" applyFont="1" applyFill="1" applyBorder="1" applyAlignment="1">
      <alignment vertical="center"/>
      <protection/>
    </xf>
    <xf numFmtId="0" fontId="5" fillId="0" borderId="35" xfId="285" applyFont="1" applyFill="1" applyBorder="1" applyAlignment="1">
      <alignment horizontal="left" vertical="center" wrapText="1"/>
      <protection/>
    </xf>
    <xf numFmtId="0" fontId="2" fillId="0" borderId="0" xfId="285" applyNumberFormat="1" applyFont="1" applyFill="1" applyBorder="1" applyAlignment="1">
      <alignment vertical="center" wrapText="1"/>
      <protection/>
    </xf>
    <xf numFmtId="0" fontId="5" fillId="0" borderId="35" xfId="285" applyFont="1" applyFill="1" applyBorder="1" applyAlignment="1">
      <alignment horizontal="justify" vertical="center" wrapText="1"/>
      <protection/>
    </xf>
    <xf numFmtId="3" fontId="5" fillId="0" borderId="35" xfId="285" applyNumberFormat="1" applyFont="1" applyFill="1" applyBorder="1" applyAlignment="1">
      <alignment horizontal="left" vertical="center"/>
      <protection/>
    </xf>
    <xf numFmtId="3" fontId="5" fillId="0" borderId="35" xfId="285" applyNumberFormat="1" applyFont="1" applyFill="1" applyBorder="1" applyAlignment="1">
      <alignment horizontal="left" vertical="center" wrapText="1"/>
      <protection/>
    </xf>
    <xf numFmtId="3" fontId="5" fillId="0" borderId="35" xfId="285" applyNumberFormat="1" applyFont="1" applyFill="1" applyBorder="1">
      <alignment/>
      <protection/>
    </xf>
    <xf numFmtId="0" fontId="5" fillId="0" borderId="37" xfId="285" applyFont="1" applyFill="1" applyBorder="1">
      <alignment/>
      <protection/>
    </xf>
    <xf numFmtId="3" fontId="5" fillId="0" borderId="37" xfId="285" applyNumberFormat="1" applyFont="1" applyFill="1" applyBorder="1">
      <alignment/>
      <protection/>
    </xf>
    <xf numFmtId="0" fontId="5" fillId="0" borderId="0" xfId="285" applyNumberFormat="1" applyFont="1" applyAlignment="1">
      <alignment horizontal="left" vertical="center" wrapText="1"/>
      <protection/>
    </xf>
    <xf numFmtId="175" fontId="5" fillId="0" borderId="0" xfId="290" applyNumberFormat="1" applyFont="1" applyFill="1" applyBorder="1" applyAlignment="1">
      <alignment vertical="center" wrapText="1"/>
      <protection/>
    </xf>
    <xf numFmtId="3" fontId="5" fillId="0" borderId="0" xfId="290" applyNumberFormat="1" applyFont="1" applyFill="1">
      <alignment/>
      <protection/>
    </xf>
    <xf numFmtId="0" fontId="5" fillId="0" borderId="0" xfId="290" applyFont="1" applyFill="1">
      <alignment/>
      <protection/>
    </xf>
    <xf numFmtId="3" fontId="163" fillId="0" borderId="35" xfId="0" applyNumberFormat="1" applyFont="1" applyFill="1" applyBorder="1" applyAlignment="1">
      <alignment vertical="center" wrapText="1"/>
    </xf>
    <xf numFmtId="228" fontId="3" fillId="0" borderId="35" xfId="164" applyNumberFormat="1" applyFont="1" applyFill="1" applyBorder="1" applyAlignment="1">
      <alignment horizontal="right" vertical="center" wrapText="1"/>
    </xf>
    <xf numFmtId="228" fontId="163" fillId="0" borderId="35" xfId="290" applyNumberFormat="1" applyFont="1" applyFill="1" applyBorder="1" applyAlignment="1">
      <alignment vertical="center" wrapText="1"/>
      <protection/>
    </xf>
    <xf numFmtId="3" fontId="162" fillId="0" borderId="35" xfId="300" applyNumberFormat="1" applyFont="1" applyFill="1" applyBorder="1" applyAlignment="1">
      <alignment horizontal="right" vertical="center" wrapText="1"/>
      <protection/>
    </xf>
    <xf numFmtId="3" fontId="163" fillId="0" borderId="35" xfId="300" applyNumberFormat="1" applyFont="1" applyFill="1" applyBorder="1" applyAlignment="1">
      <alignment horizontal="right" vertical="center" wrapText="1"/>
      <protection/>
    </xf>
    <xf numFmtId="0" fontId="5" fillId="0" borderId="0" xfId="294" applyFont="1">
      <alignment/>
      <protection/>
    </xf>
    <xf numFmtId="0" fontId="3" fillId="0" borderId="0" xfId="294" applyFont="1">
      <alignment/>
      <protection/>
    </xf>
    <xf numFmtId="0" fontId="2" fillId="0" borderId="0" xfId="294" applyFont="1" applyAlignment="1">
      <alignment horizontal="center" vertical="center" wrapText="1"/>
      <protection/>
    </xf>
    <xf numFmtId="0" fontId="2" fillId="0" borderId="1" xfId="294" applyFont="1" applyBorder="1" applyAlignment="1">
      <alignment horizontal="center" vertical="center" wrapText="1"/>
      <protection/>
    </xf>
    <xf numFmtId="0" fontId="4" fillId="0" borderId="1" xfId="294" applyFont="1" applyBorder="1" applyAlignment="1">
      <alignment horizontal="center"/>
      <protection/>
    </xf>
    <xf numFmtId="0" fontId="5" fillId="0" borderId="0" xfId="294" applyFont="1" applyAlignment="1">
      <alignment horizontal="center"/>
      <protection/>
    </xf>
    <xf numFmtId="0" fontId="5" fillId="0" borderId="19" xfId="294" applyFont="1" applyBorder="1" applyAlignment="1">
      <alignment vertical="center" wrapText="1"/>
      <protection/>
    </xf>
    <xf numFmtId="0" fontId="2" fillId="0" borderId="19" xfId="294" applyFont="1" applyBorder="1" applyAlignment="1">
      <alignment horizontal="center" vertical="center" wrapText="1"/>
      <protection/>
    </xf>
    <xf numFmtId="173" fontId="2" fillId="0" borderId="19" xfId="165" applyNumberFormat="1" applyFont="1" applyBorder="1" applyAlignment="1">
      <alignment vertical="center" wrapText="1"/>
    </xf>
    <xf numFmtId="0" fontId="2" fillId="0" borderId="35" xfId="294" applyFont="1" applyBorder="1" applyAlignment="1">
      <alignment horizontal="center" vertical="center" wrapText="1"/>
      <protection/>
    </xf>
    <xf numFmtId="0" fontId="2" fillId="0" borderId="35" xfId="294" applyFont="1" applyBorder="1" applyAlignment="1">
      <alignment vertical="center" wrapText="1"/>
      <protection/>
    </xf>
    <xf numFmtId="173" fontId="2" fillId="0" borderId="35" xfId="165" applyNumberFormat="1" applyFont="1" applyBorder="1" applyAlignment="1">
      <alignment vertical="center" wrapText="1"/>
    </xf>
    <xf numFmtId="0" fontId="2" fillId="0" borderId="0" xfId="294" applyFont="1">
      <alignment/>
      <protection/>
    </xf>
    <xf numFmtId="0" fontId="5" fillId="0" borderId="35" xfId="294" applyFont="1" applyBorder="1" applyAlignment="1">
      <alignment horizontal="center" vertical="center" wrapText="1"/>
      <protection/>
    </xf>
    <xf numFmtId="0" fontId="5" fillId="0" borderId="35" xfId="294" applyFont="1" applyBorder="1" applyAlignment="1">
      <alignment vertical="center" wrapText="1"/>
      <protection/>
    </xf>
    <xf numFmtId="173" fontId="5" fillId="0" borderId="35" xfId="165" applyNumberFormat="1" applyFont="1" applyBorder="1" applyAlignment="1">
      <alignment vertical="center" wrapText="1"/>
    </xf>
    <xf numFmtId="0" fontId="5" fillId="0" borderId="35" xfId="305" applyFont="1" applyBorder="1" applyAlignment="1">
      <alignment horizontal="center" vertical="center" wrapText="1"/>
      <protection/>
    </xf>
    <xf numFmtId="0" fontId="5" fillId="0" borderId="35" xfId="305" applyFont="1" applyBorder="1" applyAlignment="1">
      <alignment vertical="center" wrapText="1"/>
      <protection/>
    </xf>
    <xf numFmtId="0" fontId="5" fillId="69" borderId="35" xfId="305" applyFont="1" applyFill="1" applyBorder="1" applyAlignment="1">
      <alignment horizontal="center" vertical="center" wrapText="1"/>
      <protection/>
    </xf>
    <xf numFmtId="0" fontId="5" fillId="69" borderId="35" xfId="305" applyFont="1" applyFill="1" applyBorder="1" applyAlignment="1">
      <alignment vertical="center" wrapText="1"/>
      <protection/>
    </xf>
    <xf numFmtId="173" fontId="5" fillId="69" borderId="35" xfId="165" applyNumberFormat="1" applyFont="1" applyFill="1" applyBorder="1" applyAlignment="1">
      <alignment vertical="center" wrapText="1"/>
    </xf>
    <xf numFmtId="0" fontId="2" fillId="0" borderId="37" xfId="305" applyFont="1" applyBorder="1" applyAlignment="1">
      <alignment horizontal="center" vertical="center" wrapText="1"/>
      <protection/>
    </xf>
    <xf numFmtId="0" fontId="2" fillId="0" borderId="37" xfId="305" applyFont="1" applyBorder="1" applyAlignment="1">
      <alignment vertical="center" wrapText="1"/>
      <protection/>
    </xf>
    <xf numFmtId="173" fontId="2" fillId="0" borderId="37" xfId="165" applyNumberFormat="1" applyFont="1" applyBorder="1" applyAlignment="1">
      <alignment vertical="center" wrapText="1"/>
    </xf>
    <xf numFmtId="3" fontId="7" fillId="0" borderId="35" xfId="147" applyNumberFormat="1" applyFont="1" applyBorder="1" applyAlignment="1">
      <alignment/>
    </xf>
    <xf numFmtId="3" fontId="7" fillId="0" borderId="35" xfId="147" applyNumberFormat="1" applyFont="1" applyBorder="1" applyAlignment="1">
      <alignment/>
    </xf>
    <xf numFmtId="175" fontId="162" fillId="0" borderId="35" xfId="0" applyNumberFormat="1" applyFont="1" applyFill="1" applyBorder="1" applyAlignment="1">
      <alignment vertical="center" wrapText="1"/>
    </xf>
    <xf numFmtId="3" fontId="162" fillId="0" borderId="35" xfId="0" applyNumberFormat="1" applyFont="1" applyFill="1" applyBorder="1" applyAlignment="1">
      <alignment vertical="center" wrapText="1"/>
    </xf>
    <xf numFmtId="3" fontId="5" fillId="0" borderId="36" xfId="285" applyNumberFormat="1" applyFont="1" applyBorder="1" applyAlignment="1">
      <alignment vertical="center"/>
      <protection/>
    </xf>
    <xf numFmtId="3" fontId="5" fillId="0" borderId="36" xfId="285" applyNumberFormat="1" applyFont="1" applyBorder="1">
      <alignment/>
      <protection/>
    </xf>
    <xf numFmtId="0" fontId="5" fillId="0" borderId="42" xfId="285" applyFont="1" applyBorder="1">
      <alignment/>
      <protection/>
    </xf>
    <xf numFmtId="173" fontId="162" fillId="69" borderId="35" xfId="165" applyNumberFormat="1" applyFont="1" applyFill="1" applyBorder="1" applyAlignment="1">
      <alignment vertical="center" wrapText="1"/>
    </xf>
    <xf numFmtId="3" fontId="160" fillId="0" borderId="35" xfId="0" applyNumberFormat="1" applyFont="1" applyBorder="1" applyAlignment="1">
      <alignment/>
    </xf>
    <xf numFmtId="228" fontId="162" fillId="0" borderId="35" xfId="290" applyNumberFormat="1" applyFont="1" applyFill="1" applyBorder="1" applyAlignment="1">
      <alignment vertical="center" wrapText="1"/>
      <protection/>
    </xf>
    <xf numFmtId="0" fontId="2" fillId="0" borderId="35" xfId="0" applyFont="1" applyFill="1" applyBorder="1" applyAlignment="1">
      <alignment horizontal="justify" vertical="center" wrapText="1"/>
    </xf>
    <xf numFmtId="0" fontId="3" fillId="0" borderId="35" xfId="0" applyFont="1" applyFill="1" applyBorder="1" applyAlignment="1">
      <alignment horizontal="justify" vertical="center" wrapText="1"/>
    </xf>
    <xf numFmtId="0" fontId="5" fillId="0" borderId="35" xfId="0" applyFont="1" applyFill="1" applyBorder="1" applyAlignment="1">
      <alignment horizontal="justify" vertical="center" wrapText="1"/>
    </xf>
    <xf numFmtId="0" fontId="2" fillId="0" borderId="35" xfId="0" applyFont="1" applyFill="1" applyBorder="1" applyAlignment="1">
      <alignment horizontal="justify" vertical="center" wrapText="1"/>
    </xf>
    <xf numFmtId="0" fontId="3" fillId="0" borderId="35" xfId="0" applyFont="1" applyFill="1" applyBorder="1" applyAlignment="1">
      <alignment horizontal="justify" vertical="center" wrapText="1"/>
    </xf>
    <xf numFmtId="0" fontId="35" fillId="0" borderId="35" xfId="0" applyFont="1" applyFill="1" applyBorder="1" applyAlignment="1">
      <alignment horizontal="justify" vertical="center" wrapText="1"/>
    </xf>
    <xf numFmtId="0" fontId="5" fillId="0" borderId="35" xfId="0" applyFont="1" applyFill="1" applyBorder="1" applyAlignment="1">
      <alignment horizontal="justify" vertical="center" wrapText="1"/>
    </xf>
    <xf numFmtId="0" fontId="3" fillId="0" borderId="35" xfId="0" applyNumberFormat="1" applyFont="1" applyFill="1" applyBorder="1" applyAlignment="1">
      <alignment horizontal="justify" vertical="center" wrapText="1"/>
    </xf>
    <xf numFmtId="0" fontId="5" fillId="0" borderId="35" xfId="0" applyFont="1" applyBorder="1" applyAlignment="1">
      <alignment horizontal="justify" vertical="center" wrapText="1"/>
    </xf>
    <xf numFmtId="0" fontId="3" fillId="0" borderId="35"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5" xfId="290" applyFont="1" applyFill="1" applyBorder="1" applyAlignment="1">
      <alignment horizontal="justify" vertical="center" wrapText="1"/>
      <protection/>
    </xf>
    <xf numFmtId="0" fontId="118" fillId="0" borderId="35" xfId="290" applyFont="1" applyFill="1" applyBorder="1" applyAlignment="1">
      <alignment horizontal="justify" vertical="center" wrapText="1"/>
      <protection/>
    </xf>
    <xf numFmtId="0" fontId="5" fillId="0" borderId="35" xfId="290" applyFont="1" applyFill="1" applyBorder="1" applyAlignment="1">
      <alignment horizontal="justify" vertical="center" wrapText="1"/>
      <protection/>
    </xf>
    <xf numFmtId="0" fontId="3" fillId="0" borderId="35" xfId="290" applyFont="1" applyFill="1" applyBorder="1" applyAlignment="1">
      <alignment horizontal="justify" vertical="center" wrapText="1"/>
      <protection/>
    </xf>
    <xf numFmtId="0" fontId="5" fillId="0" borderId="35" xfId="300" applyFont="1" applyBorder="1" applyAlignment="1">
      <alignment horizontal="center" wrapText="1"/>
      <protection/>
    </xf>
    <xf numFmtId="0" fontId="5" fillId="0" borderId="37" xfId="300" applyFont="1" applyBorder="1" applyAlignment="1">
      <alignment horizontal="center" vertical="center" wrapText="1"/>
      <protection/>
    </xf>
    <xf numFmtId="0" fontId="2" fillId="0" borderId="35" xfId="300" applyFont="1" applyBorder="1" applyAlignment="1">
      <alignment horizontal="justify"/>
      <protection/>
    </xf>
    <xf numFmtId="0" fontId="5" fillId="0" borderId="35" xfId="300" applyFont="1" applyBorder="1" applyAlignment="1">
      <alignment horizontal="justify"/>
      <protection/>
    </xf>
    <xf numFmtId="0" fontId="5" fillId="0" borderId="35" xfId="300" applyFont="1" applyBorder="1" applyAlignment="1">
      <alignment horizontal="justify" vertical="center" wrapText="1"/>
      <protection/>
    </xf>
    <xf numFmtId="0" fontId="3" fillId="0" borderId="35" xfId="300" applyFont="1" applyBorder="1" applyAlignment="1">
      <alignment horizontal="justify" vertical="center" wrapText="1"/>
      <protection/>
    </xf>
    <xf numFmtId="192" fontId="5" fillId="0" borderId="35" xfId="308" applyNumberFormat="1" applyFont="1" applyFill="1" applyBorder="1" applyAlignment="1">
      <alignment horizontal="justify" vertical="center" wrapText="1"/>
      <protection/>
    </xf>
    <xf numFmtId="0" fontId="2" fillId="0" borderId="35" xfId="300" applyFont="1" applyBorder="1" applyAlignment="1">
      <alignment horizontal="justify" vertical="center" wrapText="1"/>
      <protection/>
    </xf>
    <xf numFmtId="0" fontId="5" fillId="0" borderId="35" xfId="300" applyFont="1" applyBorder="1" applyAlignment="1">
      <alignment horizontal="justify" wrapText="1"/>
      <protection/>
    </xf>
    <xf numFmtId="0" fontId="5" fillId="0" borderId="37" xfId="300" applyFont="1" applyBorder="1" applyAlignment="1">
      <alignment horizontal="justify" wrapText="1"/>
      <protection/>
    </xf>
    <xf numFmtId="0" fontId="5" fillId="0" borderId="35" xfId="309" applyFont="1" applyFill="1" applyBorder="1" applyAlignment="1">
      <alignment horizontal="justify" vertical="center" wrapText="1"/>
      <protection/>
    </xf>
    <xf numFmtId="4" fontId="5" fillId="0" borderId="19" xfId="0" applyNumberFormat="1" applyFont="1" applyFill="1" applyBorder="1" applyAlignment="1">
      <alignment vertical="center" wrapText="1"/>
    </xf>
    <xf numFmtId="4" fontId="5" fillId="0" borderId="35" xfId="0" applyNumberFormat="1" applyFont="1" applyFill="1" applyBorder="1" applyAlignment="1">
      <alignment vertical="center" wrapText="1"/>
    </xf>
    <xf numFmtId="4" fontId="2" fillId="0" borderId="35" xfId="0" applyNumberFormat="1" applyFont="1" applyFill="1" applyBorder="1" applyAlignment="1">
      <alignment vertical="center" wrapText="1"/>
    </xf>
    <xf numFmtId="4" fontId="3" fillId="0" borderId="35" xfId="0" applyNumberFormat="1" applyFont="1" applyFill="1" applyBorder="1" applyAlignment="1">
      <alignment vertical="center" wrapText="1"/>
    </xf>
    <xf numFmtId="3" fontId="22" fillId="0" borderId="19" xfId="0" applyNumberFormat="1" applyFont="1" applyFill="1" applyBorder="1" applyAlignment="1">
      <alignment/>
    </xf>
    <xf numFmtId="2" fontId="22" fillId="0" borderId="37" xfId="0" applyNumberFormat="1" applyFont="1" applyBorder="1" applyAlignment="1">
      <alignment/>
    </xf>
    <xf numFmtId="0" fontId="7" fillId="0" borderId="35" xfId="304" applyFont="1" applyBorder="1" applyAlignment="1" quotePrefix="1">
      <alignment horizontal="center" vertical="center" wrapText="1"/>
      <protection/>
    </xf>
    <xf numFmtId="3" fontId="3" fillId="0" borderId="0" xfId="0" applyNumberFormat="1" applyFont="1" applyAlignment="1">
      <alignment/>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3" fillId="0" borderId="0" xfId="0" applyFont="1" applyAlignment="1">
      <alignment horizontal="center"/>
    </xf>
    <xf numFmtId="3" fontId="22" fillId="0" borderId="1" xfId="0" applyNumberFormat="1" applyFont="1" applyBorder="1" applyAlignment="1">
      <alignment horizontal="center" vertical="center" wrapText="1"/>
    </xf>
    <xf numFmtId="10" fontId="22" fillId="0" borderId="1" xfId="0" applyNumberFormat="1" applyFont="1" applyBorder="1" applyAlignment="1">
      <alignment horizontal="center" vertical="center" wrapText="1"/>
    </xf>
    <xf numFmtId="0" fontId="7" fillId="0" borderId="0" xfId="0" applyFont="1" applyAlignment="1">
      <alignment horizontal="left" vertical="center" wrapText="1"/>
    </xf>
    <xf numFmtId="0" fontId="22" fillId="0" borderId="0" xfId="0" applyFont="1" applyAlignment="1">
      <alignment horizontal="right"/>
    </xf>
    <xf numFmtId="0" fontId="22" fillId="0" borderId="0" xfId="0" applyFont="1" applyAlignment="1">
      <alignment horizontal="center"/>
    </xf>
    <xf numFmtId="0" fontId="23" fillId="0" borderId="0" xfId="0" applyFont="1" applyBorder="1" applyAlignment="1">
      <alignment horizontal="right"/>
    </xf>
    <xf numFmtId="0" fontId="22" fillId="0" borderId="43" xfId="0" applyFont="1" applyBorder="1" applyAlignment="1">
      <alignment horizontal="center" vertical="center" wrapText="1" shrinkToFit="1"/>
    </xf>
    <xf numFmtId="0" fontId="22" fillId="0" borderId="44" xfId="0" applyFont="1" applyBorder="1" applyAlignment="1">
      <alignment horizontal="center" vertical="center" wrapText="1" shrinkToFit="1"/>
    </xf>
    <xf numFmtId="0" fontId="22" fillId="0" borderId="33"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33"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0" xfId="0" applyFont="1" applyFill="1" applyAlignment="1">
      <alignment horizontal="right"/>
    </xf>
    <xf numFmtId="0" fontId="22" fillId="0" borderId="34" xfId="0" applyFont="1" applyBorder="1" applyAlignment="1">
      <alignment horizontal="center" vertical="center" wrapText="1"/>
    </xf>
    <xf numFmtId="0" fontId="27" fillId="0" borderId="1" xfId="0" applyFont="1" applyBorder="1" applyAlignment="1">
      <alignment vertical="center" wrapText="1"/>
    </xf>
    <xf numFmtId="0" fontId="2" fillId="0" borderId="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0" xfId="0" applyFont="1" applyAlignment="1">
      <alignment horizontal="right"/>
    </xf>
    <xf numFmtId="0" fontId="3" fillId="0" borderId="0" xfId="0" applyFont="1" applyAlignment="1">
      <alignment horizontal="center"/>
    </xf>
    <xf numFmtId="0" fontId="23" fillId="0" borderId="0" xfId="0" applyFont="1" applyFill="1" applyBorder="1" applyAlignment="1">
      <alignment horizontal="right"/>
    </xf>
    <xf numFmtId="0" fontId="2" fillId="0" borderId="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47" xfId="0" applyFont="1" applyFill="1" applyBorder="1" applyAlignment="1">
      <alignment horizontal="center" vertical="center"/>
    </xf>
    <xf numFmtId="0" fontId="22" fillId="0" borderId="1" xfId="0" applyFont="1" applyBorder="1" applyAlignment="1">
      <alignment horizontal="center" vertical="center"/>
    </xf>
    <xf numFmtId="0" fontId="22" fillId="0" borderId="1" xfId="301" applyFont="1" applyBorder="1" applyAlignment="1">
      <alignment horizontal="center" vertical="center" wrapText="1"/>
      <protection/>
    </xf>
    <xf numFmtId="175" fontId="22" fillId="0" borderId="1" xfId="301" applyNumberFormat="1" applyFont="1" applyBorder="1" applyAlignment="1">
      <alignment horizontal="center" vertical="center" wrapText="1"/>
      <protection/>
    </xf>
    <xf numFmtId="0" fontId="22" fillId="0" borderId="0" xfId="301" applyFont="1" applyAlignment="1">
      <alignment horizontal="right"/>
      <protection/>
    </xf>
    <xf numFmtId="0" fontId="119" fillId="0" borderId="0" xfId="301" applyFont="1" applyAlignment="1">
      <alignment horizontal="center" vertical="center" wrapText="1"/>
      <protection/>
    </xf>
    <xf numFmtId="0" fontId="31" fillId="0" borderId="0" xfId="301" applyFont="1" applyAlignment="1">
      <alignment horizontal="center"/>
      <protection/>
    </xf>
    <xf numFmtId="0" fontId="3" fillId="0" borderId="46" xfId="301" applyFont="1" applyBorder="1" applyAlignment="1">
      <alignment horizontal="right"/>
      <protection/>
    </xf>
    <xf numFmtId="0" fontId="22" fillId="0" borderId="1" xfId="301" applyFont="1" applyFill="1" applyBorder="1" applyAlignment="1">
      <alignment horizontal="center" vertical="center" wrapText="1"/>
      <protection/>
    </xf>
    <xf numFmtId="0" fontId="2" fillId="0" borderId="1" xfId="303" applyFont="1" applyBorder="1" applyAlignment="1">
      <alignment horizontal="center" vertical="center" wrapText="1"/>
      <protection/>
    </xf>
    <xf numFmtId="0" fontId="2" fillId="0" borderId="33" xfId="303" applyFont="1" applyBorder="1" applyAlignment="1">
      <alignment horizontal="center" vertical="center" wrapText="1"/>
      <protection/>
    </xf>
    <xf numFmtId="0" fontId="2" fillId="0" borderId="34" xfId="303" applyFont="1" applyBorder="1" applyAlignment="1">
      <alignment horizontal="center" vertical="center" wrapText="1"/>
      <protection/>
    </xf>
    <xf numFmtId="0" fontId="2" fillId="0" borderId="45" xfId="303" applyFont="1" applyBorder="1" applyAlignment="1">
      <alignment horizontal="center" vertical="center" wrapText="1"/>
      <protection/>
    </xf>
    <xf numFmtId="0" fontId="22" fillId="0" borderId="0" xfId="303" applyFont="1" applyAlignment="1">
      <alignment horizontal="center"/>
      <protection/>
    </xf>
    <xf numFmtId="0" fontId="23" fillId="0" borderId="0" xfId="303" applyFont="1" applyAlignment="1">
      <alignment horizontal="center"/>
      <protection/>
    </xf>
    <xf numFmtId="0" fontId="23" fillId="0" borderId="46" xfId="303" applyFont="1" applyBorder="1" applyAlignment="1">
      <alignment horizontal="center"/>
      <protection/>
    </xf>
    <xf numFmtId="0" fontId="22" fillId="0" borderId="0" xfId="303" applyFont="1" applyAlignment="1">
      <alignment horizontal="right"/>
      <protection/>
    </xf>
    <xf numFmtId="0" fontId="23" fillId="0" borderId="46" xfId="303" applyFont="1" applyBorder="1" applyAlignment="1">
      <alignment horizontal="right"/>
      <protection/>
    </xf>
    <xf numFmtId="0" fontId="23" fillId="0" borderId="0" xfId="303" applyFont="1" applyBorder="1" applyAlignment="1">
      <alignment horizontal="right"/>
      <protection/>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300" applyFont="1" applyAlignment="1">
      <alignment horizontal="right"/>
      <protection/>
    </xf>
    <xf numFmtId="0" fontId="2" fillId="0" borderId="0" xfId="300" applyFont="1" applyAlignment="1">
      <alignment horizontal="center"/>
      <protection/>
    </xf>
    <xf numFmtId="0" fontId="3" fillId="0" borderId="0" xfId="300" applyFont="1" applyAlignment="1">
      <alignment horizontal="center"/>
      <protection/>
    </xf>
    <xf numFmtId="0" fontId="5" fillId="0" borderId="0" xfId="285" applyNumberFormat="1" applyFont="1" applyAlignment="1">
      <alignment horizontal="center" vertical="center" wrapText="1"/>
      <protection/>
    </xf>
    <xf numFmtId="0" fontId="2" fillId="0" borderId="1" xfId="285" applyFont="1" applyBorder="1" applyAlignment="1">
      <alignment horizontal="center" vertical="center" wrapText="1"/>
      <protection/>
    </xf>
    <xf numFmtId="0" fontId="2" fillId="0" borderId="1" xfId="285" applyFont="1" applyBorder="1" applyAlignment="1">
      <alignment horizontal="center" vertical="center"/>
      <protection/>
    </xf>
    <xf numFmtId="0" fontId="2" fillId="0" borderId="33" xfId="285" applyFont="1" applyFill="1" applyBorder="1" applyAlignment="1">
      <alignment horizontal="center" vertical="center" wrapText="1"/>
      <protection/>
    </xf>
    <xf numFmtId="0" fontId="2" fillId="0" borderId="45" xfId="285" applyFont="1" applyFill="1" applyBorder="1" applyAlignment="1">
      <alignment horizontal="center" vertical="center" wrapText="1"/>
      <protection/>
    </xf>
    <xf numFmtId="0" fontId="2" fillId="0" borderId="28" xfId="285" applyFont="1" applyFill="1" applyBorder="1" applyAlignment="1">
      <alignment horizontal="center" vertical="center" wrapText="1"/>
      <protection/>
    </xf>
    <xf numFmtId="0" fontId="2" fillId="0" borderId="47" xfId="285" applyFont="1" applyFill="1" applyBorder="1" applyAlignment="1">
      <alignment horizontal="center" vertical="center" wrapText="1"/>
      <protection/>
    </xf>
    <xf numFmtId="0" fontId="2" fillId="0" borderId="0" xfId="285" applyFont="1" applyAlignment="1">
      <alignment horizontal="right"/>
      <protection/>
    </xf>
    <xf numFmtId="0" fontId="2" fillId="0" borderId="0" xfId="285" applyFont="1" applyAlignment="1">
      <alignment horizontal="center"/>
      <protection/>
    </xf>
    <xf numFmtId="0" fontId="3" fillId="0" borderId="0" xfId="285" applyFont="1" applyAlignment="1">
      <alignment horizontal="center"/>
      <protection/>
    </xf>
    <xf numFmtId="0" fontId="3" fillId="0" borderId="46" xfId="285" applyFont="1" applyBorder="1" applyAlignment="1">
      <alignment horizontal="center"/>
      <protection/>
    </xf>
    <xf numFmtId="0" fontId="2" fillId="0" borderId="33" xfId="285" applyNumberFormat="1" applyFont="1" applyBorder="1" applyAlignment="1">
      <alignment horizontal="center" vertical="center" wrapText="1"/>
      <protection/>
    </xf>
    <xf numFmtId="0" fontId="2" fillId="0" borderId="34" xfId="285" applyNumberFormat="1" applyFont="1" applyBorder="1" applyAlignment="1">
      <alignment horizontal="center" vertical="center" wrapText="1"/>
      <protection/>
    </xf>
    <xf numFmtId="0" fontId="2" fillId="0" borderId="0" xfId="285" applyFont="1" applyFill="1" applyAlignment="1">
      <alignment horizontal="center"/>
      <protection/>
    </xf>
    <xf numFmtId="0" fontId="5" fillId="0" borderId="0" xfId="285" applyFont="1" applyFill="1" applyAlignment="1">
      <alignment horizontal="center" vertical="center"/>
      <protection/>
    </xf>
    <xf numFmtId="3" fontId="2" fillId="0" borderId="1" xfId="285" applyNumberFormat="1" applyFont="1" applyFill="1" applyBorder="1" applyAlignment="1">
      <alignment horizontal="center" vertical="center" wrapText="1"/>
      <protection/>
    </xf>
    <xf numFmtId="3" fontId="5" fillId="0" borderId="1" xfId="285" applyNumberFormat="1" applyFont="1" applyFill="1" applyBorder="1" applyAlignment="1">
      <alignment horizontal="center" vertical="center" wrapText="1"/>
      <protection/>
    </xf>
    <xf numFmtId="0" fontId="2" fillId="0" borderId="0" xfId="285" applyFont="1" applyFill="1" applyAlignment="1">
      <alignment horizontal="left"/>
      <protection/>
    </xf>
    <xf numFmtId="3" fontId="2" fillId="0" borderId="0" xfId="285" applyNumberFormat="1" applyFont="1" applyFill="1" applyAlignment="1">
      <alignment horizontal="right"/>
      <protection/>
    </xf>
    <xf numFmtId="0" fontId="22" fillId="0" borderId="0" xfId="285" applyFont="1" applyFill="1" applyAlignment="1">
      <alignment horizontal="center"/>
      <protection/>
    </xf>
    <xf numFmtId="0" fontId="3" fillId="0" borderId="0" xfId="285" applyFont="1" applyFill="1" applyAlignment="1">
      <alignment horizontal="center"/>
      <protection/>
    </xf>
    <xf numFmtId="3" fontId="34" fillId="0" borderId="46" xfId="285" applyNumberFormat="1" applyFont="1" applyFill="1" applyBorder="1" applyAlignment="1">
      <alignment horizontal="right"/>
      <protection/>
    </xf>
    <xf numFmtId="0" fontId="2" fillId="0" borderId="1" xfId="285" applyFont="1" applyFill="1" applyBorder="1" applyAlignment="1">
      <alignment horizontal="center" vertical="center" wrapText="1"/>
      <protection/>
    </xf>
    <xf numFmtId="0" fontId="5" fillId="0" borderId="1" xfId="285" applyFont="1" applyFill="1" applyBorder="1" applyAlignment="1">
      <alignment horizontal="center" vertical="center" wrapText="1"/>
      <protection/>
    </xf>
    <xf numFmtId="3" fontId="2" fillId="0" borderId="1" xfId="285" applyNumberFormat="1" applyFont="1" applyFill="1" applyBorder="1" applyAlignment="1">
      <alignment horizontal="center" vertical="center"/>
      <protection/>
    </xf>
    <xf numFmtId="0" fontId="3" fillId="0" borderId="0" xfId="294" applyFont="1" applyAlignment="1">
      <alignment horizontal="center"/>
      <protection/>
    </xf>
    <xf numFmtId="0" fontId="2" fillId="0" borderId="28" xfId="294" applyFont="1" applyBorder="1" applyAlignment="1">
      <alignment horizontal="center" vertical="center" wrapText="1"/>
      <protection/>
    </xf>
    <xf numFmtId="0" fontId="2" fillId="0" borderId="12" xfId="294" applyFont="1" applyBorder="1" applyAlignment="1">
      <alignment horizontal="center" vertical="center" wrapText="1"/>
      <protection/>
    </xf>
    <xf numFmtId="0" fontId="2" fillId="0" borderId="47" xfId="294" applyFont="1" applyBorder="1" applyAlignment="1">
      <alignment horizontal="center" vertical="center" wrapText="1"/>
      <protection/>
    </xf>
    <xf numFmtId="0" fontId="2" fillId="0" borderId="33" xfId="294" applyFont="1" applyBorder="1" applyAlignment="1">
      <alignment horizontal="center" vertical="center" wrapText="1"/>
      <protection/>
    </xf>
    <xf numFmtId="0" fontId="2" fillId="0" borderId="45" xfId="294" applyFont="1" applyBorder="1" applyAlignment="1">
      <alignment horizontal="center" vertical="center" wrapText="1"/>
      <protection/>
    </xf>
    <xf numFmtId="0" fontId="2" fillId="0" borderId="0" xfId="294" applyFont="1" applyAlignment="1">
      <alignment horizontal="center"/>
      <protection/>
    </xf>
    <xf numFmtId="0" fontId="3" fillId="0" borderId="46" xfId="294" applyFont="1" applyBorder="1" applyAlignment="1">
      <alignment horizontal="center"/>
      <protection/>
    </xf>
    <xf numFmtId="0" fontId="2" fillId="0" borderId="34" xfId="294" applyFont="1" applyBorder="1" applyAlignment="1">
      <alignment horizontal="center" vertical="center" wrapText="1"/>
      <protection/>
    </xf>
    <xf numFmtId="0" fontId="22" fillId="0" borderId="0" xfId="290" applyFont="1" applyAlignment="1">
      <alignment horizontal="right"/>
      <protection/>
    </xf>
    <xf numFmtId="0" fontId="22" fillId="0" borderId="0" xfId="290" applyFont="1" applyAlignment="1">
      <alignment horizontal="center" vertical="center" wrapText="1"/>
      <protection/>
    </xf>
    <xf numFmtId="0" fontId="23" fillId="0" borderId="0" xfId="290" applyFont="1" applyAlignment="1">
      <alignment horizontal="center"/>
      <protection/>
    </xf>
    <xf numFmtId="0" fontId="23" fillId="0" borderId="0" xfId="290" applyFont="1" applyAlignment="1" quotePrefix="1">
      <alignment horizontal="center"/>
      <protection/>
    </xf>
    <xf numFmtId="0" fontId="22" fillId="0" borderId="1" xfId="290" applyFont="1" applyBorder="1" applyAlignment="1">
      <alignment horizontal="center" vertical="center"/>
      <protection/>
    </xf>
    <xf numFmtId="0" fontId="22" fillId="0" borderId="1" xfId="290" applyFont="1" applyBorder="1" applyAlignment="1">
      <alignment horizontal="center" vertical="center" wrapText="1"/>
      <protection/>
    </xf>
    <xf numFmtId="0" fontId="22" fillId="0" borderId="33" xfId="290" applyFont="1" applyBorder="1" applyAlignment="1">
      <alignment horizontal="center" vertical="center" wrapText="1"/>
      <protection/>
    </xf>
    <xf numFmtId="0" fontId="22" fillId="0" borderId="34" xfId="290" applyFont="1" applyBorder="1" applyAlignment="1">
      <alignment horizontal="center" vertical="center" wrapText="1"/>
      <protection/>
    </xf>
    <xf numFmtId="0" fontId="22" fillId="0" borderId="45" xfId="290" applyFont="1" applyBorder="1" applyAlignment="1">
      <alignment horizontal="center" vertical="center" wrapText="1"/>
      <protection/>
    </xf>
    <xf numFmtId="0" fontId="0" fillId="0" borderId="1" xfId="0" applyFont="1" applyBorder="1" applyAlignment="1">
      <alignment/>
    </xf>
    <xf numFmtId="191" fontId="22" fillId="0" borderId="1" xfId="297" applyNumberFormat="1" applyFont="1" applyFill="1" applyBorder="1" applyAlignment="1">
      <alignment horizontal="center" vertical="center" wrapText="1"/>
      <protection/>
    </xf>
    <xf numFmtId="0" fontId="23" fillId="0" borderId="0" xfId="0" applyFont="1" applyBorder="1" applyAlignment="1">
      <alignment horizontal="center"/>
    </xf>
    <xf numFmtId="0" fontId="22" fillId="0" borderId="0" xfId="305" applyFont="1" applyAlignment="1">
      <alignment horizontal="right"/>
      <protection/>
    </xf>
    <xf numFmtId="0" fontId="22" fillId="0" borderId="0" xfId="305" applyFont="1" applyAlignment="1">
      <alignment horizontal="center" vertical="center" wrapText="1"/>
      <protection/>
    </xf>
    <xf numFmtId="0" fontId="3" fillId="0" borderId="0" xfId="305" applyFont="1" applyAlignment="1">
      <alignment horizontal="center" vertical="center" wrapText="1"/>
      <protection/>
    </xf>
    <xf numFmtId="0" fontId="23" fillId="0" borderId="0" xfId="305" applyFont="1" applyBorder="1" applyAlignment="1">
      <alignment horizontal="right"/>
      <protection/>
    </xf>
    <xf numFmtId="0" fontId="22" fillId="0" borderId="33" xfId="305" applyFont="1" applyBorder="1" applyAlignment="1">
      <alignment horizontal="center" vertical="center" wrapText="1"/>
      <protection/>
    </xf>
    <xf numFmtId="0" fontId="22" fillId="0" borderId="34" xfId="305" applyFont="1" applyBorder="1" applyAlignment="1">
      <alignment horizontal="center" vertical="center" wrapText="1"/>
      <protection/>
    </xf>
    <xf numFmtId="0" fontId="22" fillId="0" borderId="45" xfId="305" applyFont="1" applyBorder="1" applyAlignment="1">
      <alignment horizontal="center" vertical="center" wrapText="1"/>
      <protection/>
    </xf>
    <xf numFmtId="0" fontId="22" fillId="0" borderId="1" xfId="305" applyFont="1" applyBorder="1" applyAlignment="1">
      <alignment horizontal="center" vertical="center" wrapText="1"/>
      <protection/>
    </xf>
  </cellXfs>
  <cellStyles count="444">
    <cellStyle name="Normal" xfId="0"/>
    <cellStyle name="_x0001_" xfId="15"/>
    <cellStyle name="          &#13;&#10;shell=progman.exe&#13;&#10;m" xfId="16"/>
    <cellStyle name="&#13;&#10;JournalTemplate=C:\COMFO\CTALK\JOURSTD.TPL&#13;&#10;LbStateAddress=3 3 0 251 1 89 2 311&#13;&#10;LbStateJou" xfId="17"/>
    <cellStyle name="??" xfId="18"/>
    <cellStyle name="?? [0.00]_ Att. 1- Cover" xfId="19"/>
    <cellStyle name="?? [0]" xfId="20"/>
    <cellStyle name="?_x001D_??%U©÷u&amp;H©÷9_x0008_? s&#10;_x0007__x0001__x0001_" xfId="21"/>
    <cellStyle name="???? [0.00]_PRODUCT DETAIL Q1" xfId="22"/>
    <cellStyle name="????_PRODUCT DETAIL Q1" xfId="23"/>
    <cellStyle name="???[0]_?? DI" xfId="24"/>
    <cellStyle name="???_?? DI" xfId="25"/>
    <cellStyle name="??[0]_BRE" xfId="26"/>
    <cellStyle name="??_ Att. 1- Cover" xfId="27"/>
    <cellStyle name="??A? [0]_ÿÿÿÿÿÿ_1_¢¬???¢â? " xfId="28"/>
    <cellStyle name="??A?_ÿÿÿÿÿÿ_1_¢¬???¢â? " xfId="29"/>
    <cellStyle name="?¡±¢¥?_?¨ù??¢´¢¥_¢¬???¢â? " xfId="30"/>
    <cellStyle name="?ðÇ%U?&amp;H?_x0008_?s&#10;_x0007__x0001__x0001_" xfId="31"/>
    <cellStyle name="_130307 So sanh thuc hien 2012 - du toan 2012 moi (pan khac)" xfId="32"/>
    <cellStyle name="_130313 Mau  bieu bao cao nguon luc cua dia phuong sua" xfId="33"/>
    <cellStyle name="_130818 Tong hop Danh gia thu 2013" xfId="34"/>
    <cellStyle name="_130818 Tong hop Danh gia thu 2013_140921 bu giam thu ND 209" xfId="35"/>
    <cellStyle name="_Bang Chi tieu (2)" xfId="36"/>
    <cellStyle name="_DG 2012-DT2013 - Theo sac thue -sua" xfId="37"/>
    <cellStyle name="_DG 2012-DT2013 - Theo sac thue -sua_27-8Tong hop PA uoc 2012-DT 2013 -PA 420.000 ty-490.000 ty chuyen doi" xfId="38"/>
    <cellStyle name="_KT (2)" xfId="39"/>
    <cellStyle name="_KT (2)_1" xfId="40"/>
    <cellStyle name="_KT (2)_2" xfId="41"/>
    <cellStyle name="_KT (2)_2_TG-TH" xfId="42"/>
    <cellStyle name="_KT (2)_3" xfId="43"/>
    <cellStyle name="_KT (2)_3_TG-TH" xfId="44"/>
    <cellStyle name="_KT (2)_4" xfId="45"/>
    <cellStyle name="_KT (2)_4_TG-TH" xfId="46"/>
    <cellStyle name="_KT (2)_5" xfId="47"/>
    <cellStyle name="_KT (2)_TG-TH" xfId="48"/>
    <cellStyle name="_KT_TG" xfId="49"/>
    <cellStyle name="_KT_TG_1" xfId="50"/>
    <cellStyle name="_KT_TG_2" xfId="51"/>
    <cellStyle name="_KT_TG_3" xfId="52"/>
    <cellStyle name="_KT_TG_4" xfId="53"/>
    <cellStyle name="_Phu luc kem BC gui VP Bo (18.2)" xfId="54"/>
    <cellStyle name="_TG-TH" xfId="55"/>
    <cellStyle name="_TG-TH_1" xfId="56"/>
    <cellStyle name="_TG-TH_2" xfId="57"/>
    <cellStyle name="_TG-TH_3" xfId="58"/>
    <cellStyle name="_TG-TH_4" xfId="59"/>
    <cellStyle name="~1" xfId="60"/>
    <cellStyle name="•W€_STDFOR" xfId="61"/>
    <cellStyle name="W_STDFOR" xfId="62"/>
    <cellStyle name="0" xfId="63"/>
    <cellStyle name="1" xfId="64"/>
    <cellStyle name="1_2-Ha GiangBB2011-V1" xfId="65"/>
    <cellStyle name="1_50-BB Vung tau 2011" xfId="66"/>
    <cellStyle name="1_52-Long An2011.BB-V1" xfId="67"/>
    <cellStyle name="¹éºÐÀ²_±âÅ¸" xfId="68"/>
    <cellStyle name="2" xfId="69"/>
    <cellStyle name="20" xfId="70"/>
    <cellStyle name="20% - Accent1" xfId="71"/>
    <cellStyle name="20% - Accent2" xfId="72"/>
    <cellStyle name="20% - Accent3" xfId="73"/>
    <cellStyle name="20% - Accent4" xfId="74"/>
    <cellStyle name="20% - Accent5" xfId="75"/>
    <cellStyle name="20% - Accent6" xfId="76"/>
    <cellStyle name="20% - Nhấn1" xfId="77"/>
    <cellStyle name="20% - Nhấn2" xfId="78"/>
    <cellStyle name="20% - Nhấn3" xfId="79"/>
    <cellStyle name="20% - Nhấn4" xfId="80"/>
    <cellStyle name="20% - Nhấn5" xfId="81"/>
    <cellStyle name="20% - Nhấn6" xfId="82"/>
    <cellStyle name="3" xfId="83"/>
    <cellStyle name="4" xfId="84"/>
    <cellStyle name="40% - Accent1" xfId="85"/>
    <cellStyle name="40% - Accent2" xfId="86"/>
    <cellStyle name="40% - Accent3" xfId="87"/>
    <cellStyle name="40% - Accent4" xfId="88"/>
    <cellStyle name="40% - Accent5" xfId="89"/>
    <cellStyle name="40% - Accent6" xfId="90"/>
    <cellStyle name="40% - Nhấn1" xfId="91"/>
    <cellStyle name="40% - Nhấn2" xfId="92"/>
    <cellStyle name="40% - Nhấn3" xfId="93"/>
    <cellStyle name="40% - Nhấn4" xfId="94"/>
    <cellStyle name="40% - Nhấn5" xfId="95"/>
    <cellStyle name="40% - Nhấn6" xfId="96"/>
    <cellStyle name="6" xfId="97"/>
    <cellStyle name="60% - Accent1" xfId="98"/>
    <cellStyle name="60% - Accent2" xfId="99"/>
    <cellStyle name="60% - Accent3" xfId="100"/>
    <cellStyle name="60% - Accent4" xfId="101"/>
    <cellStyle name="60% - Accent5" xfId="102"/>
    <cellStyle name="60% - Accent6" xfId="103"/>
    <cellStyle name="60% - Nhấn1" xfId="104"/>
    <cellStyle name="60% - Nhấn2" xfId="105"/>
    <cellStyle name="60% - Nhấn3" xfId="106"/>
    <cellStyle name="60% - Nhấn4" xfId="107"/>
    <cellStyle name="60% - Nhấn5" xfId="108"/>
    <cellStyle name="60% - Nhấn6" xfId="109"/>
    <cellStyle name="Accent1" xfId="110"/>
    <cellStyle name="Accent2" xfId="111"/>
    <cellStyle name="Accent3" xfId="112"/>
    <cellStyle name="Accent4" xfId="113"/>
    <cellStyle name="Accent5" xfId="114"/>
    <cellStyle name="Accent6" xfId="115"/>
    <cellStyle name="ÅëÈ­ [0]_¿ì¹°Åë" xfId="116"/>
    <cellStyle name="AeE­ [0]_INQUIRY ¿?¾÷AßAø " xfId="117"/>
    <cellStyle name="ÅëÈ­ [0]_laroux" xfId="118"/>
    <cellStyle name="ÅëÈ­_¿ì¹°Åë" xfId="119"/>
    <cellStyle name="AeE­_INQUIRY ¿?¾÷AßAø " xfId="120"/>
    <cellStyle name="ÅëÈ­_laroux" xfId="121"/>
    <cellStyle name="args.style" xfId="122"/>
    <cellStyle name="ÄÞ¸¶ [0]_¿ì¹°Åë" xfId="123"/>
    <cellStyle name="AÞ¸¶ [0]_INQUIRY ¿?¾÷AßAø " xfId="124"/>
    <cellStyle name="ÄÞ¸¶ [0]_L601CPT" xfId="125"/>
    <cellStyle name="ÄÞ¸¶_¿ì¹°Åë" xfId="126"/>
    <cellStyle name="AÞ¸¶_INQUIRY ¿?¾÷AßAø " xfId="127"/>
    <cellStyle name="ÄÞ¸¶_L601CPT" xfId="128"/>
    <cellStyle name="AutoFormat Options" xfId="129"/>
    <cellStyle name="Bad" xfId="130"/>
    <cellStyle name="Body" xfId="131"/>
    <cellStyle name="C?AØ_¿?¾÷CoE² " xfId="132"/>
    <cellStyle name="Ç¥ÁØ_#2(M17)_1" xfId="133"/>
    <cellStyle name="C￥AØ_¿μ¾÷CoE² " xfId="134"/>
    <cellStyle name="Ç¥ÁØ_±³°¢¼ö·®" xfId="135"/>
    <cellStyle name="C￥AØ_≫c¾÷ºIº° AN°e " xfId="136"/>
    <cellStyle name="Calc Currency (0)" xfId="137"/>
    <cellStyle name="Calc Currency (2)" xfId="138"/>
    <cellStyle name="Calc Percent (0)" xfId="139"/>
    <cellStyle name="Calc Percent (1)" xfId="140"/>
    <cellStyle name="Calc Percent (2)" xfId="141"/>
    <cellStyle name="Calc Units (0)" xfId="142"/>
    <cellStyle name="Calc Units (1)" xfId="143"/>
    <cellStyle name="Calc Units (2)" xfId="144"/>
    <cellStyle name="Calculation" xfId="145"/>
    <cellStyle name="category" xfId="146"/>
    <cellStyle name="Comma" xfId="147"/>
    <cellStyle name="Comma  - Style1" xfId="148"/>
    <cellStyle name="Comma  - Style2" xfId="149"/>
    <cellStyle name="Comma  - Style3" xfId="150"/>
    <cellStyle name="Comma  - Style4" xfId="151"/>
    <cellStyle name="Comma  - Style5" xfId="152"/>
    <cellStyle name="Comma  - Style6" xfId="153"/>
    <cellStyle name="Comma  - Style7" xfId="154"/>
    <cellStyle name="Comma  - Style8" xfId="155"/>
    <cellStyle name="Comma [0]" xfId="156"/>
    <cellStyle name="Comma [00]" xfId="157"/>
    <cellStyle name="Comma 10 2" xfId="158"/>
    <cellStyle name="Comma 12" xfId="159"/>
    <cellStyle name="Comma 2" xfId="160"/>
    <cellStyle name="Comma 28" xfId="161"/>
    <cellStyle name="Comma 3" xfId="162"/>
    <cellStyle name="Comma 3 2" xfId="163"/>
    <cellStyle name="Comma 4" xfId="164"/>
    <cellStyle name="Comma 5" xfId="165"/>
    <cellStyle name="Comma 6" xfId="166"/>
    <cellStyle name="Comma 7" xfId="167"/>
    <cellStyle name="Comma 8" xfId="168"/>
    <cellStyle name="Comma 9" xfId="169"/>
    <cellStyle name="comma zerodec" xfId="170"/>
    <cellStyle name="Comma0" xfId="171"/>
    <cellStyle name="Copied" xfId="172"/>
    <cellStyle name="Currency" xfId="173"/>
    <cellStyle name="Currency [0]" xfId="174"/>
    <cellStyle name="Currency [00]" xfId="175"/>
    <cellStyle name="Currency0" xfId="176"/>
    <cellStyle name="Currency0 2" xfId="177"/>
    <cellStyle name="Currency1" xfId="178"/>
    <cellStyle name="Check Cell" xfId="179"/>
    <cellStyle name="Chi phÝ kh¸c_Book1" xfId="180"/>
    <cellStyle name="D1" xfId="181"/>
    <cellStyle name="Date" xfId="182"/>
    <cellStyle name="Date Short" xfId="183"/>
    <cellStyle name="Dấu_phảy 2" xfId="184"/>
    <cellStyle name="Dezimal [0]_NEGS" xfId="185"/>
    <cellStyle name="Dezimal_NEGS" xfId="186"/>
    <cellStyle name="Dollar (zero dec)" xfId="187"/>
    <cellStyle name="Dziesi?tny [0]_Invoices2001Slovakia" xfId="188"/>
    <cellStyle name="Dziesi?tny_Invoices2001Slovakia" xfId="189"/>
    <cellStyle name="Dziesietny [0]_Invoices2001Slovakia" xfId="190"/>
    <cellStyle name="Dziesiętny [0]_Invoices2001Slovakia" xfId="191"/>
    <cellStyle name="Dziesietny [0]_Invoices2001Slovakia_Book1" xfId="192"/>
    <cellStyle name="Dziesiętny [0]_Invoices2001Slovakia_Book1" xfId="193"/>
    <cellStyle name="Dziesietny [0]_Invoices2001Slovakia_Book1_Tong hop Cac tuyen(9-1-06)" xfId="194"/>
    <cellStyle name="Dziesiętny [0]_Invoices2001Slovakia_Book1_Tong hop Cac tuyen(9-1-06)" xfId="195"/>
    <cellStyle name="Dziesietny [0]_Invoices2001Slovakia_KL K.C mat duong" xfId="196"/>
    <cellStyle name="Dziesiętny [0]_Invoices2001Slovakia_Nhalamviec VTC(25-1-05)" xfId="197"/>
    <cellStyle name="Dziesietny [0]_Invoices2001Slovakia_TDT KHANH HOA" xfId="198"/>
    <cellStyle name="Dziesiętny [0]_Invoices2001Slovakia_TDT KHANH HOA" xfId="199"/>
    <cellStyle name="Dziesietny [0]_Invoices2001Slovakia_TDT KHANH HOA_Tong hop Cac tuyen(9-1-06)" xfId="200"/>
    <cellStyle name="Dziesiętny [0]_Invoices2001Slovakia_TDT KHANH HOA_Tong hop Cac tuyen(9-1-06)" xfId="201"/>
    <cellStyle name="Dziesietny [0]_Invoices2001Slovakia_TDT quangngai" xfId="202"/>
    <cellStyle name="Dziesiętny [0]_Invoices2001Slovakia_TDT quangngai" xfId="203"/>
    <cellStyle name="Dziesietny [0]_Invoices2001Slovakia_Tong hop Cac tuyen(9-1-06)" xfId="204"/>
    <cellStyle name="Dziesietny_Invoices2001Slovakia" xfId="205"/>
    <cellStyle name="Dziesiętny_Invoices2001Slovakia" xfId="206"/>
    <cellStyle name="Dziesietny_Invoices2001Slovakia_Book1" xfId="207"/>
    <cellStyle name="Dziesiętny_Invoices2001Slovakia_Book1" xfId="208"/>
    <cellStyle name="Dziesietny_Invoices2001Slovakia_Book1_Tong hop Cac tuyen(9-1-06)" xfId="209"/>
    <cellStyle name="Dziesiętny_Invoices2001Slovakia_Book1_Tong hop Cac tuyen(9-1-06)" xfId="210"/>
    <cellStyle name="Dziesietny_Invoices2001Slovakia_KL K.C mat duong" xfId="211"/>
    <cellStyle name="Dziesiętny_Invoices2001Slovakia_Nhalamviec VTC(25-1-05)" xfId="212"/>
    <cellStyle name="Dziesietny_Invoices2001Slovakia_TDT KHANH HOA" xfId="213"/>
    <cellStyle name="Dziesiętny_Invoices2001Slovakia_TDT KHANH HOA" xfId="214"/>
    <cellStyle name="Dziesietny_Invoices2001Slovakia_TDT KHANH HOA_Tong hop Cac tuyen(9-1-06)" xfId="215"/>
    <cellStyle name="Dziesiętny_Invoices2001Slovakia_TDT KHANH HOA_Tong hop Cac tuyen(9-1-06)" xfId="216"/>
    <cellStyle name="Dziesietny_Invoices2001Slovakia_TDT quangngai" xfId="217"/>
    <cellStyle name="Dziesiętny_Invoices2001Slovakia_TDT quangngai" xfId="218"/>
    <cellStyle name="Dziesietny_Invoices2001Slovakia_Tong hop Cac tuyen(9-1-06)" xfId="219"/>
    <cellStyle name="Đầu ra" xfId="220"/>
    <cellStyle name="Đầu vào" xfId="221"/>
    <cellStyle name="Đề mục 1" xfId="222"/>
    <cellStyle name="Đề mục 2" xfId="223"/>
    <cellStyle name="Đề mục 3" xfId="224"/>
    <cellStyle name="Đề mục 4" xfId="225"/>
    <cellStyle name="e" xfId="226"/>
    <cellStyle name="Enter Currency (0)" xfId="227"/>
    <cellStyle name="Enter Currency (2)" xfId="228"/>
    <cellStyle name="Enter Units (0)" xfId="229"/>
    <cellStyle name="Enter Units (1)" xfId="230"/>
    <cellStyle name="Enter Units (2)" xfId="231"/>
    <cellStyle name="Entered" xfId="232"/>
    <cellStyle name="Explanatory Text" xfId="233"/>
    <cellStyle name="f" xfId="234"/>
    <cellStyle name="Fixed" xfId="235"/>
    <cellStyle name="Ghi chú" xfId="236"/>
    <cellStyle name="Good" xfId="237"/>
    <cellStyle name="Grey" xfId="238"/>
    <cellStyle name="HAI" xfId="239"/>
    <cellStyle name="Head 1" xfId="240"/>
    <cellStyle name="HEADER" xfId="241"/>
    <cellStyle name="Header1" xfId="242"/>
    <cellStyle name="Header2" xfId="243"/>
    <cellStyle name="Heading 1" xfId="244"/>
    <cellStyle name="Heading 1 2" xfId="245"/>
    <cellStyle name="Heading 2" xfId="246"/>
    <cellStyle name="Heading 2 2" xfId="247"/>
    <cellStyle name="Heading 3" xfId="248"/>
    <cellStyle name="Heading 4" xfId="249"/>
    <cellStyle name="HEADING1" xfId="250"/>
    <cellStyle name="HEADING2" xfId="251"/>
    <cellStyle name="HEADINGS" xfId="252"/>
    <cellStyle name="HEADINGSTOP" xfId="253"/>
    <cellStyle name="headoption" xfId="254"/>
    <cellStyle name="Hoa-Scholl" xfId="255"/>
    <cellStyle name="i·0" xfId="256"/>
    <cellStyle name="Input" xfId="257"/>
    <cellStyle name="Input [yellow]" xfId="258"/>
    <cellStyle name="Kiểm tra Ô" xfId="259"/>
    <cellStyle name="khanh" xfId="260"/>
    <cellStyle name="Ledger 17 x 11 in" xfId="261"/>
    <cellStyle name="Link Currency (0)" xfId="262"/>
    <cellStyle name="Link Currency (2)" xfId="263"/>
    <cellStyle name="Link Units (0)" xfId="264"/>
    <cellStyle name="Link Units (1)" xfId="265"/>
    <cellStyle name="Link Units (2)" xfId="266"/>
    <cellStyle name="Linked Cell" xfId="267"/>
    <cellStyle name="Millares [0]_Well Timing" xfId="268"/>
    <cellStyle name="Millares_Well Timing" xfId="269"/>
    <cellStyle name="Milliers [0]_      " xfId="270"/>
    <cellStyle name="Milliers_      " xfId="271"/>
    <cellStyle name="Model" xfId="272"/>
    <cellStyle name="moi" xfId="273"/>
    <cellStyle name="Moneda [0]_Well Timing" xfId="274"/>
    <cellStyle name="Moneda_Well Timing" xfId="275"/>
    <cellStyle name="Monétaire [0]_      " xfId="276"/>
    <cellStyle name="Monétaire_      " xfId="277"/>
    <cellStyle name="n" xfId="278"/>
    <cellStyle name="Neutral" xfId="279"/>
    <cellStyle name="New Times Roman" xfId="280"/>
    <cellStyle name="no dec" xfId="281"/>
    <cellStyle name="Normal - Style1" xfId="282"/>
    <cellStyle name="Normal 10" xfId="283"/>
    <cellStyle name="Normal 11" xfId="284"/>
    <cellStyle name="Normal 11 2" xfId="285"/>
    <cellStyle name="Normal 11 3" xfId="286"/>
    <cellStyle name="Normal 12" xfId="287"/>
    <cellStyle name="Normal 13" xfId="288"/>
    <cellStyle name="Normal 16" xfId="289"/>
    <cellStyle name="Normal 2" xfId="290"/>
    <cellStyle name="Normal 2 2" xfId="291"/>
    <cellStyle name="Normal 2 3" xfId="292"/>
    <cellStyle name="Normal 2_160507 Bieu mau NSDP ND sua ND73" xfId="293"/>
    <cellStyle name="Normal 3" xfId="294"/>
    <cellStyle name="Normal 3 2" xfId="295"/>
    <cellStyle name="Normal 3 4" xfId="296"/>
    <cellStyle name="Normal 4" xfId="297"/>
    <cellStyle name="Normal 5" xfId="298"/>
    <cellStyle name="Normal 5 2" xfId="299"/>
    <cellStyle name="Normal 6" xfId="300"/>
    <cellStyle name="Normal 6 2" xfId="301"/>
    <cellStyle name="Normal 7" xfId="302"/>
    <cellStyle name="Normal 8" xfId="303"/>
    <cellStyle name="Normal 8 2" xfId="304"/>
    <cellStyle name="Normal 9" xfId="305"/>
    <cellStyle name="Normal 9 2" xfId="306"/>
    <cellStyle name="Normal 93" xfId="307"/>
    <cellStyle name="Normal_Chi NSTW NSDP 2002 - PL" xfId="308"/>
    <cellStyle name="Normal_Phan bo CTMT QG GNBV 2017" xfId="309"/>
    <cellStyle name="Normal1" xfId="310"/>
    <cellStyle name="Normalny_Cennik obowiazuje od 06-08-2001 r (1)" xfId="311"/>
    <cellStyle name="Note" xfId="312"/>
    <cellStyle name="Nhấn1" xfId="313"/>
    <cellStyle name="Nhấn2" xfId="314"/>
    <cellStyle name="Nhấn3" xfId="315"/>
    <cellStyle name="Nhấn4" xfId="316"/>
    <cellStyle name="Nhấn5" xfId="317"/>
    <cellStyle name="Nhấn6" xfId="318"/>
    <cellStyle name="Œ…‹æØ‚è [0.00]_laroux" xfId="319"/>
    <cellStyle name="Œ…‹æØ‚è_laroux" xfId="320"/>
    <cellStyle name="oft Excel]&#13;&#10;Comment=open=/f ‚ðw’è‚·‚é‚ÆAƒ†[ƒU[’è‹`ŠÖ”‚ðŠÖ”“\‚è•t‚¯‚Ìˆê——‚É“o˜^‚·‚é‚±‚Æ‚ª‚Å‚«‚Ü‚·B&#13;&#10;Maximized" xfId="321"/>
    <cellStyle name="oft Excel]&#13;&#10;Comment=open=/f ‚ðŽw’è‚·‚é‚ÆAƒ†[ƒU[’è‹`ŠÖ”‚ðŠÖ”“\‚è•t‚¯‚Ìˆê——‚É“o˜^‚·‚é‚±‚Æ‚ª‚Å‚«‚Ü‚·B&#13;&#10;Maximized" xfId="322"/>
    <cellStyle name="oft Excel]&#13;&#10;Comment=The open=/f lines load custom functions into the Paste Function list.&#13;&#10;Maximized=2&#13;&#10;Basics=1&#13;&#10;A" xfId="323"/>
    <cellStyle name="oft Excel]&#13;&#10;Comment=The open=/f lines load custom functions into the Paste Function list.&#13;&#10;Maximized=3&#13;&#10;Basics=1&#13;&#10;A" xfId="324"/>
    <cellStyle name="omma [0]_Mktg Prog" xfId="325"/>
    <cellStyle name="ormal_Sheet1_1" xfId="326"/>
    <cellStyle name="Output" xfId="327"/>
    <cellStyle name="Ô Được nối kết" xfId="328"/>
    <cellStyle name="per.style" xfId="329"/>
    <cellStyle name="Percent" xfId="330"/>
    <cellStyle name="Percent [0]" xfId="331"/>
    <cellStyle name="Percent [00]" xfId="332"/>
    <cellStyle name="Percent [2]" xfId="333"/>
    <cellStyle name="Percent 10" xfId="334"/>
    <cellStyle name="Percent 2" xfId="335"/>
    <cellStyle name="Percent 3" xfId="336"/>
    <cellStyle name="PERCENTAGE" xfId="337"/>
    <cellStyle name="PrePop Currency (0)" xfId="338"/>
    <cellStyle name="PrePop Currency (2)" xfId="339"/>
    <cellStyle name="PrePop Units (0)" xfId="340"/>
    <cellStyle name="PrePop Units (1)" xfId="341"/>
    <cellStyle name="PrePop Units (2)" xfId="342"/>
    <cellStyle name="pricing" xfId="343"/>
    <cellStyle name="PSChar" xfId="344"/>
    <cellStyle name="PSHeading" xfId="345"/>
    <cellStyle name="regstoresfromspecstores" xfId="346"/>
    <cellStyle name="RevList" xfId="347"/>
    <cellStyle name="S—_x0008_" xfId="348"/>
    <cellStyle name="s]&#13;&#10;spooler=yes&#13;&#10;load=&#13;&#10;Beep=yes&#13;&#10;NullPort=None&#13;&#10;BorderWidth=3&#13;&#10;CursorBlinkRate=1200&#13;&#10;DoubleClickSpeed=452&#13;&#10;Programs=co" xfId="349"/>
    <cellStyle name="SAPBEXaggData" xfId="350"/>
    <cellStyle name="SAPBEXaggDataEmph" xfId="351"/>
    <cellStyle name="SAPBEXaggItem" xfId="352"/>
    <cellStyle name="SAPBEXchaText" xfId="353"/>
    <cellStyle name="SAPBEXexcBad7" xfId="354"/>
    <cellStyle name="SAPBEXexcBad8" xfId="355"/>
    <cellStyle name="SAPBEXexcBad9" xfId="356"/>
    <cellStyle name="SAPBEXexcCritical4" xfId="357"/>
    <cellStyle name="SAPBEXexcCritical5" xfId="358"/>
    <cellStyle name="SAPBEXexcCritical6" xfId="359"/>
    <cellStyle name="SAPBEXexcGood1" xfId="360"/>
    <cellStyle name="SAPBEXexcGood2" xfId="361"/>
    <cellStyle name="SAPBEXexcGood3" xfId="362"/>
    <cellStyle name="SAPBEXfilterDrill" xfId="363"/>
    <cellStyle name="SAPBEXfilterItem" xfId="364"/>
    <cellStyle name="SAPBEXfilterText" xfId="365"/>
    <cellStyle name="SAPBEXformats" xfId="366"/>
    <cellStyle name="SAPBEXheaderItem" xfId="367"/>
    <cellStyle name="SAPBEXheaderText" xfId="368"/>
    <cellStyle name="SAPBEXresData" xfId="369"/>
    <cellStyle name="SAPBEXresDataEmph" xfId="370"/>
    <cellStyle name="SAPBEXresItem" xfId="371"/>
    <cellStyle name="SAPBEXstdData" xfId="372"/>
    <cellStyle name="SAPBEXstdDataEmph" xfId="373"/>
    <cellStyle name="SAPBEXstdItem" xfId="374"/>
    <cellStyle name="SAPBEXtitle" xfId="375"/>
    <cellStyle name="SAPBEXundefined" xfId="376"/>
    <cellStyle name="SHADEDSTORES" xfId="377"/>
    <cellStyle name="specstores" xfId="378"/>
    <cellStyle name="Standard" xfId="379"/>
    <cellStyle name="Style 1" xfId="380"/>
    <cellStyle name="Style 2" xfId="381"/>
    <cellStyle name="Style 3" xfId="382"/>
    <cellStyle name="Style 4" xfId="383"/>
    <cellStyle name="Style 5" xfId="384"/>
    <cellStyle name="Style 6" xfId="385"/>
    <cellStyle name="style_1" xfId="386"/>
    <cellStyle name="subhead" xfId="387"/>
    <cellStyle name="Subtotal" xfId="388"/>
    <cellStyle name="T" xfId="389"/>
    <cellStyle name="T 2" xfId="390"/>
    <cellStyle name="T_50-BB Vung tau 2011" xfId="391"/>
    <cellStyle name="T_50-BB Vung tau 2011_27-8Tong hop PA uoc 2012-DT 2013 -PA 420.000 ty-490.000 ty chuyen doi" xfId="392"/>
    <cellStyle name="T_Book1" xfId="393"/>
    <cellStyle name="T_Book1_1" xfId="394"/>
    <cellStyle name="T_Book1_2" xfId="395"/>
    <cellStyle name="T_Book1_Book1" xfId="396"/>
    <cellStyle name="T_QT di chuyen ca phe" xfId="397"/>
    <cellStyle name="Text Indent A" xfId="398"/>
    <cellStyle name="Text Indent B" xfId="399"/>
    <cellStyle name="Text Indent C" xfId="400"/>
    <cellStyle name="Tiêu đề" xfId="401"/>
    <cellStyle name="Tính toán" xfId="402"/>
    <cellStyle name="Title" xfId="403"/>
    <cellStyle name="Total" xfId="404"/>
    <cellStyle name="Total 2" xfId="405"/>
    <cellStyle name="Tổng" xfId="406"/>
    <cellStyle name="Tốt" xfId="407"/>
    <cellStyle name="th" xfId="408"/>
    <cellStyle name="th 2" xfId="409"/>
    <cellStyle name="þ_x001D_ð·_x000C_æþ'&#13;ßþU_x0001_Ø_x0005_ü_x0014__x0007__x0001__x0001_" xfId="410"/>
    <cellStyle name="þ_x001D_ðÇ%Uý—&amp;Hý9_x0008_Ÿ s&#10;_x0007__x0001__x0001_" xfId="411"/>
    <cellStyle name="þ_x001D_ðK_x000C_Fý_x001B_&#13;9ýU_x0001_Ð_x0008_¦)_x0007__x0001__x0001_" xfId="412"/>
    <cellStyle name="Thuyet minh" xfId="413"/>
    <cellStyle name="Trung tính" xfId="414"/>
    <cellStyle name="Văn bản Cảnh báo" xfId="415"/>
    <cellStyle name="Văn bản Giải thích" xfId="416"/>
    <cellStyle name="viet" xfId="417"/>
    <cellStyle name="viet 2" xfId="418"/>
    <cellStyle name="viet2" xfId="419"/>
    <cellStyle name="viet2 2" xfId="420"/>
    <cellStyle name="Vn Time 13" xfId="421"/>
    <cellStyle name="Vn Time 14" xfId="422"/>
    <cellStyle name="vnbo" xfId="423"/>
    <cellStyle name="vntxt1" xfId="424"/>
    <cellStyle name="vntxt2" xfId="425"/>
    <cellStyle name="vnhead1" xfId="426"/>
    <cellStyle name="vnhead2" xfId="427"/>
    <cellStyle name="vnhead3" xfId="428"/>
    <cellStyle name="vnhead4" xfId="429"/>
    <cellStyle name="Währung [0]_UXO VII" xfId="430"/>
    <cellStyle name="Währung_UXO VII" xfId="431"/>
    <cellStyle name="Walutowy [0]_Invoices2001Slovakia" xfId="432"/>
    <cellStyle name="Walutowy_Invoices2001Slovakia" xfId="433"/>
    <cellStyle name="Warning Text" xfId="434"/>
    <cellStyle name="Xấu" xfId="435"/>
    <cellStyle name="xuan" xfId="436"/>
    <cellStyle name=" [0.00]_ Att. 1- Cover" xfId="437"/>
    <cellStyle name="_ Att. 1- Cover" xfId="438"/>
    <cellStyle name="?_ Att. 1- Cover" xfId="439"/>
    <cellStyle name="똿뗦먛귟 [0.00]_PRODUCT DETAIL Q1" xfId="440"/>
    <cellStyle name="똿뗦먛귟_PRODUCT DETAIL Q1" xfId="441"/>
    <cellStyle name="믅됞 [0.00]_PRODUCT DETAIL Q1" xfId="442"/>
    <cellStyle name="믅됞_PRODUCT DETAIL Q1" xfId="443"/>
    <cellStyle name="백분율_95" xfId="444"/>
    <cellStyle name="뷭?_BOOKSHIP" xfId="445"/>
    <cellStyle name="콤마 [0]_ 비목별 월별기술 " xfId="446"/>
    <cellStyle name="콤마_ 비목별 월별기술 " xfId="447"/>
    <cellStyle name="통화 [0]_1202" xfId="448"/>
    <cellStyle name="통화_1202" xfId="449"/>
    <cellStyle name="표준_(정보부문)월별인원계획" xfId="450"/>
    <cellStyle name="一般_00Q3902REV.1" xfId="451"/>
    <cellStyle name="千分位[0]_00Q3902REV.1" xfId="452"/>
    <cellStyle name="千分位_00Q3902REV.1" xfId="453"/>
    <cellStyle name="標準_BOQ-08" xfId="454"/>
    <cellStyle name="貨幣 [0]_00Q3902REV.1" xfId="455"/>
    <cellStyle name="貨幣[0]_BRE" xfId="456"/>
    <cellStyle name="貨幣_00Q3902REV.1" xfId="4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cuments\Huy&#7879;n,%20th&#7883;%20x&#227;,%20th&#224;nh%20ph&#7889;%20(DT%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ngbac-prmumyd\gh\KL%20Than%20HL%2015-05-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417;%20quan\Hoi%20&#273;ong\N&#259;m%202017\D&#7921;%20to&#225;n%20ng&#226;n%20s&#225;ch%202018\H&#224;nh%20ch&#237;nh%20s&#7921;%20nghi&#7879;p\Ng&#224;y%2019-11-2017%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417;%20quan\Hoi%20&#273;ong\N&#259;m%202017\D&#7921;%20to&#225;n%20ng&#226;n%20s&#225;ch%202018\UBND%20t&#7881;nh\Hop%20Ban%20ch&#7845;p%20h&#224;nh\L&#432;u%20hi&#7873;n%20s&#7917;a%20chi&#7873;u%2022.11.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Administrator\My%20Documents\Downloads\Huy&#7879;n,%20th&#7883;%20x&#227;,%20th&#224;nh%20ph&#7889;%20(DT%20201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Win%207%2032bit\Downloads\L&#432;u%20hi&#7873;n%20s&#7917;a%20chi&#7873;u%2022.11.20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417;%20quan\Hoi%20&#273;ong\N&#259;m%202017\D&#7921;%20to&#225;n%20ng&#226;n%20s&#225;ch%202018\UBND%20t&#7881;nh\Chuy&#7875;n%20ng&#224;y%2019.11.2017\Huy&#7879;n,%20th&#7883;%20x&#227;,%20th&#224;nh%20ph&#7889;%20(DT%20201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CDROM\Downloads\TH%20THU%20(l&#7847;n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o thu"/>
      <sheetName val="Giao chi"/>
      <sheetName val="Khối tỉnh"/>
      <sheetName val="Vay"/>
      <sheetName val="Công an tỉnh"/>
      <sheetName val="Hội nhà báo"/>
      <sheetName val="Biên phòng"/>
      <sheetName val="Giao NSH"/>
      <sheetName val="Tỉnh ủy"/>
      <sheetName val="TP.ĐBP"/>
      <sheetName val="H.ĐIỆN BIÊN"/>
      <sheetName val="H.TUẦN GIÁO"/>
      <sheetName val="H.MƯỜNG ẢNG"/>
      <sheetName val="H.TỦA CHÙA"/>
      <sheetName val="H.MƯỜNG CHÀ"/>
      <sheetName val="H.MƯỜNG NHÉ"/>
      <sheetName val="H.NẬM PỒ"/>
      <sheetName val="TX.MƯỜNG LAY"/>
      <sheetName val="H.ĐIỆN BIÊN ĐÔNG"/>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XL4Poppy"/>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00000000"/>
      <sheetName val="T12-01"/>
      <sheetName val="T1-02"/>
      <sheetName val="T5"/>
      <sheetName val="T6"/>
      <sheetName val="T7"/>
      <sheetName val="T8"/>
      <sheetName val="T9"/>
      <sheetName val="T10"/>
      <sheetName val="T11"/>
      <sheetName val="T12"/>
      <sheetName val="CTCN"/>
      <sheetName val="QTHD"/>
      <sheetName val="Giao"/>
      <sheetName val="CHIET TINH"/>
      <sheetName val="Bang gia Ca May"/>
      <sheetName val="Bang Gia VL"/>
      <sheetName val="Tong Hop KP"/>
      <sheetName val=" DON GIA"/>
      <sheetName val="CHIET TINH THEO KH.SAT"/>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NC"/>
      <sheetName val="VL"/>
      <sheetName val="THDT"/>
      <sheetName val="BIA"/>
      <sheetName val="THQT"/>
      <sheetName val="CT HT"/>
      <sheetName val="B tinh"/>
      <sheetName val="XD"/>
      <sheetName val="TH VT A"/>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D12TUVAN"/>
      <sheetName val="D7Longhiep"/>
      <sheetName val="NMNHUa"/>
      <sheetName val="DXMay"/>
      <sheetName val="D7TT3"/>
      <sheetName val="PXII"/>
      <sheetName val="Vaycuong"/>
      <sheetName val="DCUONG"/>
      <sheetName val="DVINA"/>
      <sheetName val="DCKCUONG"/>
      <sheetName val="D3KSVINA"/>
      <sheetName val="DOI 7"/>
      <sheetName val="DOI 3"/>
      <sheetName val="DOI1"/>
      <sheetName val="DOI6"/>
      <sheetName val="DOI5"/>
      <sheetName val="QuyI"/>
      <sheetName val="QuyII"/>
      <sheetName val="QUYIII"/>
      <sheetName val="QUYIV"/>
      <sheetName val="quy1"/>
      <sheetName val="QUY2"/>
      <sheetName val="QUY3"/>
      <sheetName val="QUY4"/>
      <sheetName val="00000001"/>
      <sheetName val="00000002"/>
      <sheetName val="00000003"/>
      <sheetName val="00000004"/>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T3(9)"/>
      <sheetName val="T2(9)"/>
      <sheetName val="T5(10)"/>
      <sheetName val="T4(10)"/>
      <sheetName val="T3(10)"/>
      <sheetName val="T2(10)"/>
      <sheetName val="T1(10)"/>
      <sheetName val="T4(9)"/>
      <sheetName val="T1(9)"/>
      <sheetName val="T4(T8)"/>
      <sheetName val="T3(T8]"/>
      <sheetName val="T2(T8]"/>
      <sheetName val="T1(T8]"/>
      <sheetName val="T4(T7}"/>
      <sheetName val="T3(T7]"/>
      <sheetName val="T2(T7]"/>
      <sheetName val="T1(T7]"/>
      <sheetName val="T3[6]"/>
      <sheetName val="T2[6]"/>
      <sheetName val="T1(6)"/>
      <sheetName val="T4(05)"/>
      <sheetName val="T3(05)"/>
      <sheetName val="T2(05)"/>
      <sheetName val="T3(3)03"/>
      <sheetName val="T1(04)"/>
      <sheetName val="T5(03)"/>
      <sheetName val="T4(03)"/>
      <sheetName val="DKTT"/>
      <sheetName val="N-luc"/>
      <sheetName val="TH-Tai trong"/>
      <sheetName val="Xamu"/>
      <sheetName val="Than tru"/>
      <sheetName val="Be coc"/>
      <sheetName val="PTDDat-Tru"/>
      <sheetName val="PTDDat-nhip"/>
      <sheetName val="PTDDat-nhipLT"/>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2001"/>
      <sheetName val="T.H 01"/>
      <sheetName val="2000"/>
      <sheetName val="Thang_1"/>
      <sheetName val="Thang_2"/>
      <sheetName val="Thang_3"/>
      <sheetName val="Thang_4"/>
      <sheetName val="Chitiet"/>
      <sheetName val="PTich"/>
      <sheetName val="TongHop"/>
      <sheetName val="NhapCN"/>
      <sheetName val="THBaocao"/>
      <sheetName val="THThang"/>
      <sheetName val="THtoanbo"/>
      <sheetName val="THboxung"/>
      <sheetName val="PTVT"/>
      <sheetName val="CLechVTSon5.5.03"/>
      <sheetName val="THKPBXSon5.5.03"/>
      <sheetName val="BXSon+binh5.5.03"/>
      <sheetName val="thau"/>
      <sheetName val="XXXXXXXX"/>
      <sheetName val="XXXXXXX0"/>
      <sheetName val="XXXXXXX1"/>
      <sheetName val="XXXXXXX2"/>
      <sheetName val="XXXXXXX3"/>
      <sheetName val="XXXXXXX4"/>
      <sheetName val="XXXXXXX5"/>
      <sheetName val="Gia da dam"/>
      <sheetName val="Gia VLXD"/>
      <sheetName val="Sluong"/>
      <sheetName val="t1e21"/>
      <sheetName val="t1e20"/>
      <sheetName val="t1e18"/>
      <sheetName val="t2e17"/>
      <sheetName val="t1e17"/>
      <sheetName val="t1e15"/>
      <sheetName val="t2e14"/>
      <sheetName val="t1e14"/>
      <sheetName val="t2e13"/>
      <sheetName val="t1e13"/>
      <sheetName val="t2e12"/>
      <sheetName val="t1e12"/>
      <sheetName val="t2e11"/>
      <sheetName val="t1e11"/>
      <sheetName val="t2e10"/>
      <sheetName val="t1e10"/>
      <sheetName val="t3e9"/>
      <sheetName val="t2e9"/>
      <sheetName val="t1e9"/>
      <sheetName val="t3e8"/>
      <sheetName val="t2e8"/>
      <sheetName val="t1e8cu"/>
      <sheetName val="t3e5"/>
      <sheetName val="t2e5"/>
      <sheetName val="t1e5moi"/>
      <sheetName val="t1e5cu"/>
      <sheetName val="t2e2"/>
      <sheetName val="t1e2"/>
      <sheetName val="t3e1"/>
      <sheetName val="t2e1"/>
      <sheetName val="t1e1"/>
      <sheetName val="CPTK"/>
      <sheetName val="DMTK"/>
      <sheetName val="DGiaCTiet"/>
      <sheetName val="DTCT"/>
      <sheetName val="THKP (2)"/>
      <sheetName val="TM"/>
      <sheetName val="BU-gian"/>
      <sheetName val="Bu-Ha"/>
      <sheetName val="Gia DAN"/>
      <sheetName val="Dan"/>
      <sheetName val="Cuoc"/>
      <sheetName val="Bugia"/>
      <sheetName val="VT"/>
      <sheetName val="KL57"/>
      <sheetName val="THop"/>
      <sheetName val="GTXL "/>
      <sheetName val="ptdg"/>
      <sheetName val="vc-tau"/>
      <sheetName val="O-to"/>
      <sheetName val="gia"/>
      <sheetName val="KL"/>
      <sheetName val="KS"/>
      <sheetName val="DGKS"/>
      <sheetName val="TK"/>
      <sheetName val="TKP-Hang"/>
      <sheetName val="TH-hang"/>
      <sheetName val="luong"/>
      <sheetName val="TH8T"/>
      <sheetName val="VT10"/>
      <sheetName val="VT11"/>
      <sheetName val="VT11 (2)"/>
      <sheetName val="GTXL"/>
      <sheetName val="dgchitiet"/>
      <sheetName val="DTCong"/>
      <sheetName val="KLuong(cong)"/>
      <sheetName val="DHai(banDUL-5x20,05m)"/>
      <sheetName val="KVinh(banDUL-3x21,05m)"/>
      <sheetName val="KLuong(Cau)"/>
      <sheetName val="M"/>
      <sheetName val="GTXLk"/>
      <sheetName val="dg(cau)"/>
      <sheetName val="DT(KVinh)"/>
      <sheetName val="DT(DHai)"/>
      <sheetName val="DT(cong)"/>
      <sheetName val="CTXD"/>
      <sheetName val="20000000"/>
      <sheetName val="30000000"/>
      <sheetName val="Bang TH"/>
      <sheetName val="ktcau"/>
      <sheetName val="KTcaulon"/>
      <sheetName val="DGia"/>
      <sheetName val="Vuot can(81-110)-ok"/>
      <sheetName val="L4,T5 nuoc(81-110)-ok"/>
      <sheetName val="L,T,nuoc+can(70-81)-ok"/>
      <sheetName val="Vuot can(35-70)-ok"/>
      <sheetName val="L,T,N nuoc (35-70)-ok"/>
      <sheetName val="L,T,N nuoc (0-35)-ok"/>
      <sheetName val="Vuot can(0-35)-ok"/>
      <sheetName val="Duong(0-35)-ok"/>
      <sheetName val="KL-Cau lon"/>
      <sheetName val="KL-Cau trung"/>
      <sheetName val="KL-Cau vuot nut"/>
      <sheetName val="1nhip"/>
      <sheetName val="TH Cau-PA kien nghi"/>
      <sheetName val="L(4),T(5) nuoc(81-110)"/>
      <sheetName val="Vuot can7 (81-110)"/>
      <sheetName val="Tach XL"/>
      <sheetName val="KL cau Bac Phu Cat"/>
      <sheetName val="Dam, mo, tru"/>
      <sheetName val="Tuong chan"/>
      <sheetName val="dgchitiet-cau"/>
      <sheetName val="GTXL(03)"/>
      <sheetName val="Gia VL"/>
      <sheetName val="CPXD(03+04)"/>
      <sheetName val="dgphu"/>
      <sheetName val="GTXL(TT03)"/>
      <sheetName val="May"/>
      <sheetName val="VLieu"/>
      <sheetName val="GTXL(TT03-2005)"/>
      <sheetName val="CP1-3nhip(L=130,40m)"/>
      <sheetName val="CP2-4nhip(L=170,40m)"/>
      <sheetName val="KLTB- 2"/>
      <sheetName val="KLTB- 1"/>
      <sheetName val="Thep"/>
      <sheetName val="KL chi tiet"/>
      <sheetName val="THKP-TT03+04(sauduyet)"/>
      <sheetName val="KM0"/>
      <sheetName val="He so(TT03+04)"/>
      <sheetName val="PL Vua(DTTK)"/>
      <sheetName val="dgchitiet(TT03+04)"/>
      <sheetName val="Dieu phoi(DTTK)"/>
      <sheetName val="DTduong(TT03+04)"/>
      <sheetName val="KLduong(duyet)"/>
      <sheetName val="Cau chinh (dam)-TT03+04"/>
      <sheetName val="Cau chinh (motru)-TT03+04"/>
      <sheetName val="KC dam ban(TT03+04)"/>
      <sheetName val="KL-cau"/>
      <sheetName val="KL-nhip dam"/>
      <sheetName val="KL-coc"/>
      <sheetName val="Thi cong"/>
      <sheetName val="DG chitiet"/>
      <sheetName val="KLcau"/>
      <sheetName val="Yalop(5x33m)-TDUL"/>
      <sheetName val="Gia tri XLc"/>
      <sheetName val="6-Cau lon (CLH) ok"/>
      <sheetName val="3-L,T,nuoc+can(70-81)-PA1,2,3"/>
      <sheetName val="5-L,T,N (110-131+008)-PA1,2,3"/>
      <sheetName val="5-Nut (110-131+008)-PA1,2,3"/>
      <sheetName val="4-Vuot can(81-110)-PA1,2,3"/>
      <sheetName val="2-T,N nuoc (35-70)-PA1,2,3"/>
      <sheetName val="2-Lon nuoc (35-70)-PA1,2,3"/>
      <sheetName val="2-Vuot can(35-70)-PA1,2,3"/>
      <sheetName val="1-Trung(0-35) PA1,2,3"/>
      <sheetName val="1-L,N nuoc (0-35) PA1&amp;2 "/>
      <sheetName val="1-L,N nuoc (0-35) PA3 "/>
      <sheetName val="1-Vuot can(0-35) PA1,2,3"/>
      <sheetName val="4-L4,T5 nuoc(81-110)-PA1,2,3"/>
      <sheetName val="Cong(0-131)-PA3"/>
      <sheetName val="Cong(0-131)- PA2"/>
      <sheetName val="Cong(0-131)- PA1"/>
      <sheetName val="TienXL-3PA"/>
      <sheetName val="TienXL-PA1,2"/>
      <sheetName val="Cong(KM1+640-KM5+540)"/>
      <sheetName val="KM 209(1x18m)-Tthuong"/>
      <sheetName val="KM 205(1x12m)-BanDUL"/>
      <sheetName val="GTXL-PA1"/>
      <sheetName val="GTXL-PA2"/>
      <sheetName val="GTXL-PA3"/>
      <sheetName val="1 nhip"/>
      <sheetName val="THKL"/>
      <sheetName val="Vat Lieu "/>
      <sheetName val="CP3-3nhip(L=130,423m)"/>
      <sheetName val="KLTB- 3"/>
      <sheetName val="CP5-3nhip(L=130,27m)"/>
      <sheetName val="KLTB- 5"/>
      <sheetName val="CP6-4nhip(L=170,40m)"/>
      <sheetName val="GTXL(TT03+04)"/>
      <sheetName val="KLTB- 6"/>
      <sheetName val="NhapSL"/>
      <sheetName val="TH cac DG"/>
      <sheetName val="DGTH"/>
      <sheetName val="CTcongtron"/>
      <sheetName val="Gia 1m3 dam"/>
      <sheetName val="KLVL 1nhip"/>
      <sheetName val="DG #"/>
      <sheetName val="1md cong ban"/>
      <sheetName val="Be day cong"/>
      <sheetName val="Khoan diachat"/>
      <sheetName val="GTXL-Cau"/>
      <sheetName val="DHai(ban-5x20,05m;coc40x40)"/>
      <sheetName val="KVinh(ban-3x21,05m;PA2)"/>
      <sheetName val="KVinh(ban-3x24m;PA1)"/>
      <sheetName val="KPsaudc"/>
      <sheetName val="GiaVL"/>
      <sheetName val="Dam(Sua sau TT)"/>
      <sheetName val="DG mo, tru(Sua sau TT)"/>
      <sheetName val="Coc(Sua sau TT)"/>
      <sheetName val="Duong(Sua sau TT)"/>
      <sheetName val="DPDat(Sau TT)"/>
      <sheetName val="DTCT(dc TT03&amp;04) "/>
      <sheetName val="Denbu"/>
      <sheetName val="40000000"/>
      <sheetName val="50000000"/>
      <sheetName val="NMQII-100"/>
      <sheetName val="NMQII"/>
      <sheetName val="MTQII"/>
      <sheetName val="CTYQII"/>
      <sheetName val="PTVT goc"/>
      <sheetName val="DG goc"/>
      <sheetName val="CLVL goc"/>
      <sheetName val="khoi luong"/>
      <sheetName val="ptxd"/>
      <sheetName val="ptnuoc"/>
      <sheetName val="bu gia"/>
      <sheetName val="bien ban"/>
      <sheetName val="q2"/>
      <sheetName val="q3"/>
      <sheetName val="q4"/>
      <sheetName val="Tien ung"/>
      <sheetName val="PHONG"/>
      <sheetName val="phi luong3"/>
      <sheetName val="XL4Test5"/>
      <sheetName val="CAN DOI"/>
      <sheetName val="PTPT"/>
      <sheetName val="TK 141"/>
      <sheetName val="NO CTy"/>
      <sheetName val="Chart1"/>
      <sheetName val="Phantich"/>
      <sheetName val="Toan_DA"/>
      <sheetName val="2004"/>
      <sheetName val="2005"/>
      <sheetName val="CW of Hoabinh  2002"/>
      <sheetName val=" Goods of Hoabinh 2002 "/>
      <sheetName val="BC"/>
      <sheetName val="Chi tiet"/>
      <sheetName val="Vat tu"/>
      <sheetName val="Thiet ke"/>
      <sheetName val="TH KL,VT,KP"/>
      <sheetName val="Den bu"/>
      <sheetName val="#REF"/>
      <sheetName val="HC-01"/>
      <sheetName val="HC-02"/>
      <sheetName val="HC-03"/>
      <sheetName val="HC-04"/>
      <sheetName val="HC-05"/>
      <sheetName val="HC-06"/>
      <sheetName val="HC-07"/>
      <sheetName val="HC-08"/>
      <sheetName val="HC-09"/>
      <sheetName val="HC-10"/>
      <sheetName val="HC-11"/>
      <sheetName val="HC-12"/>
      <sheetName val="HC-13"/>
      <sheetName val="HC-14"/>
      <sheetName val="HC-15"/>
      <sheetName val="HC-16"/>
      <sheetName val="HC-17"/>
      <sheetName val="HC-18"/>
      <sheetName val="Bia1"/>
      <sheetName val="THKC"/>
      <sheetName val="THKC (2)"/>
      <sheetName val="THKC (3)"/>
      <sheetName val="VtuB"/>
      <sheetName val="VtuA"/>
      <sheetName val="CAMmoi"/>
      <sheetName val="CAM1"/>
      <sheetName val="CAMcu"/>
      <sheetName val="CAM2"/>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0002"/>
      <sheetName val="0003"/>
      <sheetName val="0004"/>
      <sheetName val="005"/>
      <sheetName val="0006"/>
      <sheetName val="0007"/>
      <sheetName val="0008"/>
      <sheetName val="009"/>
      <sheetName val="stabguide"/>
      <sheetName val="riser 02.01"/>
      <sheetName val="TONG CONG "/>
      <sheetName val="phu luc "/>
      <sheetName val="PT VT "/>
      <sheetName val="c. lech v t"/>
      <sheetName val="Q.Tc.xanh  "/>
      <sheetName val="Tang giam KL "/>
      <sheetName val="CF"/>
      <sheetName val="Trich 154"/>
      <sheetName val="Van Son"/>
      <sheetName val="Nga"/>
      <sheetName val="Bac"/>
      <sheetName val="Dung"/>
      <sheetName val="Minh"/>
      <sheetName val="TSon"/>
      <sheetName val="THi-VAn"/>
      <sheetName val="Ky"/>
      <sheetName val="Tien"/>
      <sheetName val="Van"/>
      <sheetName val="Hoang "/>
      <sheetName val="MTuan"/>
      <sheetName val="VINH"/>
      <sheetName val="CUONG"/>
      <sheetName val="Hoai"/>
      <sheetName val="THANH"/>
      <sheetName val="Sau"/>
      <sheetName val="Linh"/>
      <sheetName val="ngatt"/>
      <sheetName val="Ba-02"/>
      <sheetName val="Bac-2"/>
      <sheetName val="Dong"/>
      <sheetName val="Hung"/>
      <sheetName val="CT3-138"/>
      <sheetName val="CT4-138-01"/>
      <sheetName val="CT138-1-02"/>
      <sheetName val="338"/>
      <sheetName val="CP6-4nhip(L=170,5e)(OK)"/>
      <sheetName val="00000005"/>
      <sheetName val="00000006"/>
      <sheetName val="Q1-02"/>
      <sheetName val="Q2-02"/>
      <sheetName val="Q3-02"/>
      <sheetName val="B ke"/>
      <sheetName val="K luong"/>
      <sheetName val="VL-NC-M"/>
      <sheetName val="C.tinh DG"/>
      <sheetName val="C.tinh BT"/>
      <sheetName val="Mong"/>
      <sheetName val="Bu VL"/>
      <sheetName val="V.C ngoai tuyen"/>
      <sheetName val="Trung chuyen"/>
      <sheetName val="V.C noi tuyen"/>
      <sheetName val="Cu lyVC noi tuyen"/>
      <sheetName val="CT-6"/>
      <sheetName val="CT-Tram"/>
      <sheetName val="TH-Tram"/>
      <sheetName val="TH-Cto"/>
      <sheetName val="TBA 35-Ldat"/>
      <sheetName val="TDT35TBA"/>
      <sheetName val="TDT-tram"/>
      <sheetName val="TDT-Cto"/>
      <sheetName val="TDT6DDK+TBA"/>
      <sheetName val="DG-Khao sat"/>
      <sheetName val="CT-Tuvan"/>
      <sheetName val="Chi tiet Vc"/>
      <sheetName val="Khoi luong van chuyen "/>
      <sheetName val="TONGDUTOAN"/>
      <sheetName val="Khao Sat"/>
      <sheetName val="ThuyetMinhDT"/>
      <sheetName val="VVVVVVVa"/>
      <sheetName val="sent to"/>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KHTC 2004 "/>
      <sheetName val="Bao cao Quy"/>
      <sheetName val="Bao cao thuc hien KH"/>
      <sheetName val="CP thang 10"/>
      <sheetName val="Gia thanh Sx"/>
      <sheetName val="KH thang 9+10"/>
      <sheetName val="KH tu 15-08"/>
      <sheetName val="KH TC -2 Da nop Cty"/>
      <sheetName val="KH TC T8"/>
      <sheetName val="00000007"/>
      <sheetName val="BC ton quy"/>
      <sheetName val="Chi NH"/>
      <sheetName val="TT CAT KCN"/>
      <sheetName val="Chi KHAC"/>
      <sheetName val="THU BaNNHA"/>
      <sheetName val="THU KHAC"/>
      <sheetName val="TH"/>
      <sheetName val="Dot 2 (2)"/>
      <sheetName val="Lai qua han"/>
      <sheetName val="Lai QH 18-3"/>
      <sheetName val="TBao 1"/>
      <sheetName val="TBao 2"/>
      <sheetName val="TH Dot 1 SUA"/>
      <sheetName val="Dot 1 goc"/>
      <sheetName val="Dienthoai 1 Thi"/>
      <sheetName val="Dot 1 chuan"/>
      <sheetName val="TH Dot 2 SUA"/>
      <sheetName val="Nha tho 1"/>
      <sheetName val="Dienthoai 1"/>
      <sheetName val="Nha tho"/>
      <sheetName val="Dienthoai 2"/>
      <sheetName val="Nha tho 1 (2)"/>
      <sheetName val="Mat Bang - HD"/>
      <sheetName val="Lai QH 25-5"/>
      <sheetName val="Dot 2 chuan"/>
      <sheetName val="Dienthoai 2 Thi"/>
      <sheetName val="TH Dot 1 Thi"/>
      <sheetName val="TH Dot 2 Thi"/>
      <sheetName val="TB Noptien D2"/>
      <sheetName val="Dot 2 theo PT"/>
      <sheetName val="ket cau"/>
      <sheetName val="BKBL"/>
      <sheetName val="DG"/>
      <sheetName val="SLX"/>
      <sheetName val="SLN"/>
      <sheetName val="SLT"/>
      <sheetName val="BTH"/>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LMT"/>
      <sheetName val="PL1"/>
      <sheetName val="PL2"/>
      <sheetName val="KLTT"/>
      <sheetName val="TKT"/>
      <sheetName val="DG"/>
      <sheetName val="xedap"/>
      <sheetName val="san hang rao"/>
      <sheetName val="Ttin"/>
      <sheetName val="Dienngoai"/>
      <sheetName val="be canh"/>
      <sheetName val="ga ra"/>
      <sheetName val="Nuoct"/>
      <sheetName val="DN"/>
      <sheetName val="TLNtruc"/>
      <sheetName val="TLbe"/>
      <sheetName val="CTNUOC"/>
      <sheetName val="TL coc"/>
      <sheetName val="TL than"/>
      <sheetName val="KLchitiet"/>
      <sheetName val="GVLDHT"/>
      <sheetName val="DGCT"/>
      <sheetName val="CPLT"/>
      <sheetName val="10000000"/>
      <sheetName val="00000000"/>
      <sheetName val="00000001"/>
      <sheetName val="20000000"/>
      <sheetName val="30000000"/>
      <sheetName val="40000000"/>
      <sheetName val="XL4Test5"/>
      <sheetName val="chitimc"/>
      <sheetName val="dongia (2)"/>
      <sheetName val="LKVL-CK-HT-GD1"/>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gvl"/>
      <sheetName val="thao-go"/>
      <sheetName val="DON GIA"/>
      <sheetName val="TONGKE-HT"/>
      <sheetName val="dtxl"/>
      <sheetName val="t-h HA THE"/>
      <sheetName val="CHITIET VL-NC-TT -1p"/>
      <sheetName val="TONG HOP VL-NC TT"/>
      <sheetName val="TNHCHINH"/>
      <sheetName val="TH XL"/>
      <sheetName val="CHITIET VL-NC"/>
      <sheetName val="VC"/>
      <sheetName val="KH-Q1,Q2,01"/>
      <sheetName val="Tiepdia"/>
      <sheetName val="CHITIET VL-NC-TT-3p"/>
      <sheetName val="TDTKP"/>
      <sheetName val="TDTKP1"/>
      <sheetName val="KPVC-BD "/>
      <sheetName val="VCV-BE-TONG"/>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 C.tiết theo KL LĐ T.luận V2"/>
      <sheetName val="TH SN T.luận vòng 2"/>
      <sheetName val="Biểu 24-NĐ 31"/>
      <sheetName val="Biểu 26.."/>
      <sheetName val="Biểu 34-NĐ 31"/>
      <sheetName val="Biểu 35"/>
      <sheetName val="T.hợp biểu 37-NĐ 31"/>
      <sheetName val="Biểu 28..."/>
      <sheetName val="Biểu 47-NĐ 31"/>
      <sheetName val=" C.Tiết chuyển UBN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iao thu"/>
      <sheetName val="Giao chi"/>
      <sheetName val="Khối tỉnh"/>
      <sheetName val="Vay"/>
      <sheetName val="Công an tỉnh"/>
      <sheetName val="Hội nhà báo"/>
      <sheetName val="Biên phòng"/>
      <sheetName val="Giao NSH"/>
      <sheetName val="Tỉnh ủy"/>
      <sheetName val="TP.ĐBP"/>
      <sheetName val="H.ĐIỆN BIÊN"/>
      <sheetName val="H.TUẦN GIÁO"/>
      <sheetName val="H.MƯỜNG ẢNG"/>
      <sheetName val="H.TỦA CHÙA"/>
      <sheetName val="H.MƯỜNG CHÀ"/>
      <sheetName val="H.MƯỜNG NHÉ"/>
      <sheetName val="H.NẬM PỒ"/>
      <sheetName val="TX.MƯỜNG LAY"/>
      <sheetName val="H.ĐIỆN BIÊN ĐÔNG"/>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iao thu"/>
      <sheetName val="Giao chi"/>
      <sheetName val="Khối tỉnh"/>
      <sheetName val="Vay"/>
      <sheetName val="Công an tỉnh"/>
      <sheetName val="Hội nhà báo"/>
      <sheetName val="Biên phòng"/>
      <sheetName val="Giao NSH"/>
      <sheetName val="Tỉnh ủy"/>
      <sheetName val="TP.ĐBP"/>
      <sheetName val="H.ĐIỆN BIÊN"/>
      <sheetName val="H.TUẦN GIÁO"/>
      <sheetName val="H.MƯỜNG ẢNG"/>
      <sheetName val="H.TỦA CHÙA"/>
      <sheetName val="H.MƯỜNG CHÀ"/>
      <sheetName val="H.MƯỜNG NHÉ"/>
      <sheetName val="H.NẬM PỒ"/>
      <sheetName val="TX.MƯỜNG LAY"/>
      <sheetName val="H.ĐIỆN BIÊN ĐÔNG"/>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iao thu"/>
      <sheetName val="Giao chi"/>
      <sheetName val="Khối tỉnh"/>
      <sheetName val="Vay"/>
      <sheetName val="Công an tỉnh"/>
      <sheetName val="Hội nhà báo"/>
      <sheetName val="Biên phòng"/>
      <sheetName val="Giao NSH"/>
      <sheetName val="Tỉnh ủy"/>
      <sheetName val="TP.ĐBP"/>
      <sheetName val="H.ĐIỆN BIÊN"/>
      <sheetName val="H.TUẦN GIÁO"/>
      <sheetName val="H.MƯỜNG ẢNG"/>
      <sheetName val="H.TỦA CHÙA"/>
      <sheetName val="H.MƯỜNG CHÀ"/>
      <sheetName val="H.MƯỜNG NHÉ"/>
      <sheetName val="H.NẬM PỒ"/>
      <sheetName val="TX.MƯỜNG LAY"/>
      <sheetName val="H.ĐIỆN BIÊN ĐÔNG"/>
      <sheetName val="Sheet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iao thu"/>
      <sheetName val="Giao chi"/>
      <sheetName val="Khối tỉnh"/>
      <sheetName val="Vay"/>
      <sheetName val="Công an tỉnh"/>
      <sheetName val="Hội nhà báo"/>
      <sheetName val="Biên phòng"/>
      <sheetName val="Giao NSH"/>
      <sheetName val="Tỉnh ủy"/>
      <sheetName val="TP.ĐBP"/>
      <sheetName val="H.ĐIỆN BIÊN"/>
      <sheetName val="H.TUẦN GIÁO"/>
      <sheetName val="H.MƯỜNG ẢNG"/>
      <sheetName val="H.TỦA CHÙA"/>
      <sheetName val="H.MƯỜNG CHÀ"/>
      <sheetName val="H.MƯỜNG NHÉ"/>
      <sheetName val="H.NẬM PỒ"/>
      <sheetName val="TX.MƯỜNG LAY"/>
      <sheetName val="H.ĐIỆN BIÊN ĐÔNG"/>
      <sheetName val="Sheet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L tong hop"/>
      <sheetName val="DT 2017"/>
      <sheetName val="DT 2018"/>
      <sheetName val="Tax1"/>
      <sheetName val="Tax2"/>
      <sheetName val="HQ"/>
      <sheetName val="TT69_02"/>
      <sheetName val="TT69_03"/>
      <sheetName val="TT342_29.1"/>
      <sheetName val="TT342_29.2"/>
      <sheetName val="TT342_31"/>
      <sheetName val="NĐ31.07"/>
      <sheetName val="NĐ31.08"/>
      <sheetName val="NĐ31.09"/>
      <sheetName val="Thu 2016-2018"/>
    </sheetNames>
    <sheetDataSet>
      <sheetData sheetId="6">
        <row r="79">
          <cell r="F79">
            <v>2</v>
          </cell>
        </row>
        <row r="80">
          <cell r="F80">
            <v>790</v>
          </cell>
        </row>
        <row r="81">
          <cell r="F81">
            <v>8</v>
          </cell>
        </row>
        <row r="82">
          <cell r="F82">
            <v>7200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2"/>
  <sheetViews>
    <sheetView tabSelected="1" view="pageBreakPreview" zoomScaleNormal="70" zoomScaleSheetLayoutView="100" zoomScalePageLayoutView="0" workbookViewId="0" topLeftCell="A1">
      <selection activeCell="A4" sqref="A4:G4"/>
    </sheetView>
  </sheetViews>
  <sheetFormatPr defaultColWidth="8.796875" defaultRowHeight="15"/>
  <cols>
    <col min="1" max="1" width="5.09765625" style="5" customWidth="1"/>
    <col min="2" max="2" width="70.09765625" style="165" customWidth="1"/>
    <col min="3" max="4" width="11.59765625" style="5" customWidth="1"/>
    <col min="5" max="5" width="11.59765625" style="84" customWidth="1"/>
    <col min="6" max="6" width="11.59765625" style="51" customWidth="1"/>
    <col min="7" max="7" width="13" style="166" customWidth="1"/>
    <col min="8" max="8" width="9" style="5" customWidth="1"/>
    <col min="9" max="9" width="11.19921875" style="5" bestFit="1" customWidth="1"/>
    <col min="10" max="16384" width="9" style="5" customWidth="1"/>
  </cols>
  <sheetData>
    <row r="1" spans="1:7" ht="21" customHeight="1">
      <c r="A1" s="2"/>
      <c r="B1" s="141"/>
      <c r="C1" s="4"/>
      <c r="D1" s="572" t="s">
        <v>270</v>
      </c>
      <c r="E1" s="572"/>
      <c r="F1" s="572"/>
      <c r="G1" s="572"/>
    </row>
    <row r="2" spans="1:7" ht="12.75" customHeight="1" hidden="1">
      <c r="A2" s="53"/>
      <c r="B2" s="142"/>
      <c r="C2" s="4"/>
      <c r="D2" s="4"/>
      <c r="E2" s="65"/>
      <c r="F2" s="143"/>
      <c r="G2" s="144"/>
    </row>
    <row r="3" spans="1:7" ht="21" customHeight="1">
      <c r="A3" s="573" t="s">
        <v>469</v>
      </c>
      <c r="B3" s="573"/>
      <c r="C3" s="573"/>
      <c r="D3" s="573"/>
      <c r="E3" s="573"/>
      <c r="F3" s="573"/>
      <c r="G3" s="573"/>
    </row>
    <row r="4" spans="1:7" ht="21" customHeight="1">
      <c r="A4" s="568" t="s">
        <v>640</v>
      </c>
      <c r="B4" s="568"/>
      <c r="C4" s="568"/>
      <c r="D4" s="568"/>
      <c r="E4" s="568"/>
      <c r="F4" s="568"/>
      <c r="G4" s="568"/>
    </row>
    <row r="5" spans="1:7" ht="21" customHeight="1">
      <c r="A5" s="568"/>
      <c r="B5" s="568"/>
      <c r="C5" s="568"/>
      <c r="D5" s="568"/>
      <c r="E5" s="568"/>
      <c r="F5" s="568"/>
      <c r="G5" s="568"/>
    </row>
    <row r="6" spans="1:7" ht="19.5" customHeight="1">
      <c r="A6" s="10"/>
      <c r="B6" s="145"/>
      <c r="C6" s="12"/>
      <c r="D6" s="12"/>
      <c r="E6" s="574" t="s">
        <v>17</v>
      </c>
      <c r="F6" s="574"/>
      <c r="G6" s="574"/>
    </row>
    <row r="7" spans="1:7" s="16" customFormat="1" ht="27.75" customHeight="1">
      <c r="A7" s="566" t="s">
        <v>1</v>
      </c>
      <c r="B7" s="566" t="s">
        <v>18</v>
      </c>
      <c r="C7" s="566" t="s">
        <v>19</v>
      </c>
      <c r="D7" s="566" t="s">
        <v>450</v>
      </c>
      <c r="E7" s="567" t="s">
        <v>470</v>
      </c>
      <c r="F7" s="566" t="s">
        <v>352</v>
      </c>
      <c r="G7" s="566"/>
    </row>
    <row r="8" spans="1:7" s="16" customFormat="1" ht="27.75" customHeight="1">
      <c r="A8" s="566"/>
      <c r="B8" s="566"/>
      <c r="C8" s="566"/>
      <c r="D8" s="566"/>
      <c r="E8" s="567"/>
      <c r="F8" s="569" t="s">
        <v>75</v>
      </c>
      <c r="G8" s="570" t="s">
        <v>76</v>
      </c>
    </row>
    <row r="9" spans="1:7" s="16" customFormat="1" ht="27.75" customHeight="1">
      <c r="A9" s="566"/>
      <c r="B9" s="566"/>
      <c r="C9" s="566"/>
      <c r="D9" s="566"/>
      <c r="E9" s="567"/>
      <c r="F9" s="569"/>
      <c r="G9" s="570"/>
    </row>
    <row r="10" spans="1:7" s="19" customFormat="1" ht="17.25" customHeight="1">
      <c r="A10" s="17" t="s">
        <v>3</v>
      </c>
      <c r="B10" s="17" t="s">
        <v>12</v>
      </c>
      <c r="C10" s="17">
        <v>1</v>
      </c>
      <c r="D10" s="17">
        <f>C10+1</f>
        <v>2</v>
      </c>
      <c r="E10" s="334">
        <f>D10+1</f>
        <v>3</v>
      </c>
      <c r="F10" s="18">
        <v>4</v>
      </c>
      <c r="G10" s="146" t="s">
        <v>381</v>
      </c>
    </row>
    <row r="11" spans="1:9" s="24" customFormat="1" ht="27.75" customHeight="1">
      <c r="A11" s="20" t="s">
        <v>3</v>
      </c>
      <c r="B11" s="147" t="s">
        <v>271</v>
      </c>
      <c r="C11" s="368">
        <f>C12+C15+C19+C20+C21+C22</f>
        <v>9131278</v>
      </c>
      <c r="D11" s="148">
        <f>D12+D15+D19+D20+D21+D22</f>
        <v>9591919</v>
      </c>
      <c r="E11" s="368">
        <f>E12+E15+E19+E20+E21+E22</f>
        <v>9175884</v>
      </c>
      <c r="F11" s="148">
        <f>E11-D11</f>
        <v>-416035</v>
      </c>
      <c r="G11" s="152">
        <f>E11/D11</f>
        <v>0.9566265102947595</v>
      </c>
      <c r="H11" s="235"/>
      <c r="I11" s="235"/>
    </row>
    <row r="12" spans="1:8" s="12" customFormat="1" ht="27.75" customHeight="1">
      <c r="A12" s="25" t="s">
        <v>4</v>
      </c>
      <c r="B12" s="26" t="s">
        <v>155</v>
      </c>
      <c r="C12" s="153">
        <f>C13+C14</f>
        <v>934400</v>
      </c>
      <c r="D12" s="44">
        <f>D13+D14</f>
        <v>994749</v>
      </c>
      <c r="E12" s="153">
        <f>E13+E14</f>
        <v>1009537</v>
      </c>
      <c r="F12" s="148">
        <f aca="true" t="shared" si="0" ref="F12:F22">E12-D12</f>
        <v>14788</v>
      </c>
      <c r="G12" s="152">
        <f aca="true" t="shared" si="1" ref="G12:G18">E12/D12</f>
        <v>1.0148660616899339</v>
      </c>
      <c r="H12" s="235"/>
    </row>
    <row r="13" spans="1:8" s="12" customFormat="1" ht="27.75" customHeight="1">
      <c r="A13" s="149" t="s">
        <v>11</v>
      </c>
      <c r="B13" s="29" t="s">
        <v>161</v>
      </c>
      <c r="C13" s="45">
        <v>428200</v>
      </c>
      <c r="D13" s="45">
        <v>529349</v>
      </c>
      <c r="E13" s="45">
        <v>471837</v>
      </c>
      <c r="F13" s="150">
        <f>E13-D13</f>
        <v>-57512</v>
      </c>
      <c r="G13" s="154">
        <f t="shared" si="1"/>
        <v>0.8913533415572713</v>
      </c>
      <c r="H13" s="235"/>
    </row>
    <row r="14" spans="1:8" s="12" customFormat="1" ht="27.75" customHeight="1">
      <c r="A14" s="149" t="s">
        <v>11</v>
      </c>
      <c r="B14" s="29" t="s">
        <v>272</v>
      </c>
      <c r="C14" s="45">
        <v>506200</v>
      </c>
      <c r="D14" s="151">
        <v>465400</v>
      </c>
      <c r="E14" s="45">
        <v>537700</v>
      </c>
      <c r="F14" s="150">
        <f t="shared" si="0"/>
        <v>72300</v>
      </c>
      <c r="G14" s="154">
        <f t="shared" si="1"/>
        <v>1.155350236355823</v>
      </c>
      <c r="H14" s="235"/>
    </row>
    <row r="15" spans="1:8" s="24" customFormat="1" ht="27.75" customHeight="1">
      <c r="A15" s="25" t="s">
        <v>10</v>
      </c>
      <c r="B15" s="26" t="s">
        <v>273</v>
      </c>
      <c r="C15" s="153">
        <f>C16+C17+C18</f>
        <v>8157784</v>
      </c>
      <c r="D15" s="44">
        <f>D16+D17+D18</f>
        <v>8459993</v>
      </c>
      <c r="E15" s="153">
        <f>E16+E17+E18</f>
        <v>8128950</v>
      </c>
      <c r="F15" s="148">
        <f t="shared" si="0"/>
        <v>-331043</v>
      </c>
      <c r="G15" s="152">
        <f t="shared" si="1"/>
        <v>0.9608695893720006</v>
      </c>
      <c r="H15" s="235"/>
    </row>
    <row r="16" spans="1:8" s="12" customFormat="1" ht="27.75" customHeight="1">
      <c r="A16" s="28">
        <v>1</v>
      </c>
      <c r="B16" s="29" t="s">
        <v>274</v>
      </c>
      <c r="C16" s="45">
        <v>5666899</v>
      </c>
      <c r="D16" s="151">
        <v>5666899</v>
      </c>
      <c r="E16" s="45">
        <v>5779899</v>
      </c>
      <c r="F16" s="150">
        <f t="shared" si="0"/>
        <v>113000</v>
      </c>
      <c r="G16" s="154">
        <f t="shared" si="1"/>
        <v>1.0199403589158726</v>
      </c>
      <c r="H16" s="235"/>
    </row>
    <row r="17" spans="1:8" s="12" customFormat="1" ht="27.75" customHeight="1">
      <c r="A17" s="28">
        <f>A16+1</f>
        <v>2</v>
      </c>
      <c r="B17" s="29" t="s">
        <v>275</v>
      </c>
      <c r="C17" s="45">
        <v>2272178</v>
      </c>
      <c r="D17" s="45">
        <v>2574387</v>
      </c>
      <c r="E17" s="45">
        <v>1947925</v>
      </c>
      <c r="F17" s="150">
        <f t="shared" si="0"/>
        <v>-626462</v>
      </c>
      <c r="G17" s="154">
        <f t="shared" si="1"/>
        <v>0.7566558563261856</v>
      </c>
      <c r="H17" s="235"/>
    </row>
    <row r="18" spans="1:8" s="12" customFormat="1" ht="27.75" customHeight="1">
      <c r="A18" s="28">
        <v>3</v>
      </c>
      <c r="B18" s="392" t="s">
        <v>451</v>
      </c>
      <c r="C18" s="45">
        <v>218707</v>
      </c>
      <c r="D18" s="45">
        <v>218707</v>
      </c>
      <c r="E18" s="45">
        <v>401126</v>
      </c>
      <c r="F18" s="150">
        <f t="shared" si="0"/>
        <v>182419</v>
      </c>
      <c r="G18" s="154">
        <f t="shared" si="1"/>
        <v>1.8340793847476304</v>
      </c>
      <c r="H18" s="235"/>
    </row>
    <row r="19" spans="1:8" s="24" customFormat="1" ht="27.75" customHeight="1">
      <c r="A19" s="25" t="s">
        <v>14</v>
      </c>
      <c r="B19" s="26" t="s">
        <v>276</v>
      </c>
      <c r="C19" s="153"/>
      <c r="D19" s="44"/>
      <c r="E19" s="153"/>
      <c r="F19" s="148"/>
      <c r="G19" s="152"/>
      <c r="H19" s="235"/>
    </row>
    <row r="20" spans="1:8" s="24" customFormat="1" ht="27.75" customHeight="1">
      <c r="A20" s="25" t="s">
        <v>15</v>
      </c>
      <c r="B20" s="26" t="s">
        <v>456</v>
      </c>
      <c r="C20" s="153"/>
      <c r="D20" s="44">
        <v>36534</v>
      </c>
      <c r="E20" s="153"/>
      <c r="F20" s="148"/>
      <c r="G20" s="152"/>
      <c r="H20" s="235"/>
    </row>
    <row r="21" spans="1:8" s="24" customFormat="1" ht="27.75" customHeight="1">
      <c r="A21" s="25" t="s">
        <v>92</v>
      </c>
      <c r="B21" s="26" t="s">
        <v>159</v>
      </c>
      <c r="C21" s="153"/>
      <c r="D21" s="153">
        <v>61549</v>
      </c>
      <c r="E21" s="153"/>
      <c r="F21" s="148"/>
      <c r="G21" s="152"/>
      <c r="H21" s="235"/>
    </row>
    <row r="22" spans="1:8" s="24" customFormat="1" ht="27.75" customHeight="1">
      <c r="A22" s="25" t="s">
        <v>269</v>
      </c>
      <c r="B22" s="26" t="s">
        <v>52</v>
      </c>
      <c r="C22" s="153">
        <v>39094</v>
      </c>
      <c r="D22" s="153">
        <v>39094</v>
      </c>
      <c r="E22" s="153">
        <v>37397</v>
      </c>
      <c r="F22" s="148">
        <f t="shared" si="0"/>
        <v>-1697</v>
      </c>
      <c r="G22" s="152">
        <f>E22/C22*100%</f>
        <v>0.9565918043689569</v>
      </c>
      <c r="H22" s="235"/>
    </row>
    <row r="23" spans="1:10" s="24" customFormat="1" ht="27.75" customHeight="1">
      <c r="A23" s="25" t="s">
        <v>12</v>
      </c>
      <c r="B23" s="26" t="s">
        <v>263</v>
      </c>
      <c r="C23" s="153">
        <f>C24+C31+C35</f>
        <v>9061427</v>
      </c>
      <c r="D23" s="44">
        <f>D24+D31+D35</f>
        <v>9359427</v>
      </c>
      <c r="E23" s="153">
        <f>E24+E31+E35</f>
        <v>9116240</v>
      </c>
      <c r="F23" s="148">
        <f>E23-C23</f>
        <v>54813</v>
      </c>
      <c r="G23" s="152">
        <f>E23/C23*100%</f>
        <v>1.006049047241676</v>
      </c>
      <c r="H23" s="235"/>
      <c r="I23" s="235"/>
      <c r="J23" s="235"/>
    </row>
    <row r="24" spans="1:8" s="24" customFormat="1" ht="27.75" customHeight="1">
      <c r="A24" s="25" t="s">
        <v>4</v>
      </c>
      <c r="B24" s="26" t="s">
        <v>160</v>
      </c>
      <c r="C24" s="153">
        <f>SUM(C25:C30)</f>
        <v>7042189</v>
      </c>
      <c r="D24" s="44">
        <f>SUM(D25:D30)</f>
        <v>7305428</v>
      </c>
      <c r="E24" s="153">
        <f>SUM(E25:E30)</f>
        <v>7513424</v>
      </c>
      <c r="F24" s="148">
        <f aca="true" t="shared" si="2" ref="F24:F42">E24-C24</f>
        <v>471235</v>
      </c>
      <c r="G24" s="152">
        <f aca="true" t="shared" si="3" ref="G24:G42">E24/C24*100%</f>
        <v>1.066915983084237</v>
      </c>
      <c r="H24" s="235"/>
    </row>
    <row r="25" spans="1:8" s="12" customFormat="1" ht="27.75" customHeight="1">
      <c r="A25" s="28">
        <v>1</v>
      </c>
      <c r="B25" s="29" t="s">
        <v>278</v>
      </c>
      <c r="C25" s="45">
        <v>706136</v>
      </c>
      <c r="D25" s="151">
        <v>822731</v>
      </c>
      <c r="E25" s="45">
        <v>739125</v>
      </c>
      <c r="F25" s="150">
        <f>E25-C25</f>
        <v>32989</v>
      </c>
      <c r="G25" s="154">
        <f t="shared" si="3"/>
        <v>1.0467176294651455</v>
      </c>
      <c r="H25" s="235"/>
    </row>
    <row r="26" spans="1:8" s="12" customFormat="1" ht="27.75" customHeight="1">
      <c r="A26" s="28">
        <f>A25+1</f>
        <v>2</v>
      </c>
      <c r="B26" s="29" t="s">
        <v>87</v>
      </c>
      <c r="C26" s="45">
        <f>6195700-39351+2000</f>
        <v>6158349</v>
      </c>
      <c r="D26" s="151">
        <v>6480905</v>
      </c>
      <c r="E26" s="336">
        <v>6599001</v>
      </c>
      <c r="F26" s="150">
        <f t="shared" si="2"/>
        <v>440652</v>
      </c>
      <c r="G26" s="154">
        <f t="shared" si="3"/>
        <v>1.0715535933413323</v>
      </c>
      <c r="H26" s="235"/>
    </row>
    <row r="27" spans="1:8" s="12" customFormat="1" ht="27.75" customHeight="1">
      <c r="A27" s="28">
        <f>A26+1</f>
        <v>3</v>
      </c>
      <c r="B27" s="29" t="s">
        <v>268</v>
      </c>
      <c r="C27" s="45">
        <v>1543</v>
      </c>
      <c r="D27" s="151">
        <v>792</v>
      </c>
      <c r="E27" s="45">
        <v>1261</v>
      </c>
      <c r="F27" s="150">
        <f t="shared" si="2"/>
        <v>-282</v>
      </c>
      <c r="G27" s="154">
        <f t="shared" si="3"/>
        <v>0.8172391445236552</v>
      </c>
      <c r="H27" s="235"/>
    </row>
    <row r="28" spans="1:8" s="12" customFormat="1" ht="27.75" customHeight="1">
      <c r="A28" s="28">
        <f>A27+1</f>
        <v>4</v>
      </c>
      <c r="B28" s="29" t="s">
        <v>279</v>
      </c>
      <c r="C28" s="45">
        <v>1000</v>
      </c>
      <c r="D28" s="45">
        <v>1000</v>
      </c>
      <c r="E28" s="45">
        <v>1000</v>
      </c>
      <c r="F28" s="150">
        <f t="shared" si="2"/>
        <v>0</v>
      </c>
      <c r="G28" s="154">
        <f t="shared" si="3"/>
        <v>1</v>
      </c>
      <c r="H28" s="235"/>
    </row>
    <row r="29" spans="1:8" s="12" customFormat="1" ht="27.75" customHeight="1">
      <c r="A29" s="28">
        <f>A28+1</f>
        <v>5</v>
      </c>
      <c r="B29" s="29" t="s">
        <v>93</v>
      </c>
      <c r="C29" s="45">
        <v>135810</v>
      </c>
      <c r="D29" s="151"/>
      <c r="E29" s="45">
        <v>142913</v>
      </c>
      <c r="F29" s="150">
        <f t="shared" si="2"/>
        <v>7103</v>
      </c>
      <c r="G29" s="154">
        <f t="shared" si="3"/>
        <v>1.0523010087622413</v>
      </c>
      <c r="H29" s="235"/>
    </row>
    <row r="30" spans="1:8" s="12" customFormat="1" ht="27.75" customHeight="1">
      <c r="A30" s="28">
        <f>A29+1</f>
        <v>6</v>
      </c>
      <c r="B30" s="29" t="s">
        <v>140</v>
      </c>
      <c r="C30" s="45">
        <v>39351</v>
      </c>
      <c r="D30" s="151"/>
      <c r="E30" s="336">
        <v>30124</v>
      </c>
      <c r="F30" s="150">
        <f t="shared" si="2"/>
        <v>-9227</v>
      </c>
      <c r="G30" s="154">
        <f t="shared" si="3"/>
        <v>0.7655205712688369</v>
      </c>
      <c r="H30" s="235"/>
    </row>
    <row r="31" spans="1:9" s="24" customFormat="1" ht="27.75" customHeight="1">
      <c r="A31" s="25" t="s">
        <v>10</v>
      </c>
      <c r="B31" s="26" t="s">
        <v>301</v>
      </c>
      <c r="C31" s="153">
        <f>C32+C33+C34</f>
        <v>2019238</v>
      </c>
      <c r="D31" s="44">
        <f>D32+D33+D34</f>
        <v>2053999</v>
      </c>
      <c r="E31" s="153">
        <f>E32+E33+E34</f>
        <v>1602816</v>
      </c>
      <c r="F31" s="148">
        <f t="shared" si="2"/>
        <v>-416422</v>
      </c>
      <c r="G31" s="152">
        <f t="shared" si="3"/>
        <v>0.7937727003949014</v>
      </c>
      <c r="H31" s="235"/>
      <c r="I31" s="235"/>
    </row>
    <row r="32" spans="1:8" s="12" customFormat="1" ht="27.75" customHeight="1">
      <c r="A32" s="28">
        <v>1</v>
      </c>
      <c r="B32" s="29" t="s">
        <v>280</v>
      </c>
      <c r="C32" s="45">
        <v>601848</v>
      </c>
      <c r="D32" s="45">
        <v>601848</v>
      </c>
      <c r="E32" s="45">
        <v>906008</v>
      </c>
      <c r="F32" s="150">
        <f t="shared" si="2"/>
        <v>304160</v>
      </c>
      <c r="G32" s="154">
        <f t="shared" si="3"/>
        <v>1.5053767728728848</v>
      </c>
      <c r="H32" s="235"/>
    </row>
    <row r="33" spans="1:8" s="12" customFormat="1" ht="27.75" customHeight="1">
      <c r="A33" s="28">
        <f>A32+1</f>
        <v>2</v>
      </c>
      <c r="B33" s="29" t="s">
        <v>107</v>
      </c>
      <c r="C33" s="45">
        <f>927259+303040</f>
        <v>1230299</v>
      </c>
      <c r="D33" s="151">
        <v>1160699</v>
      </c>
      <c r="E33" s="45">
        <v>478004</v>
      </c>
      <c r="F33" s="150">
        <f t="shared" si="2"/>
        <v>-752295</v>
      </c>
      <c r="G33" s="154">
        <f t="shared" si="3"/>
        <v>0.3885266914790632</v>
      </c>
      <c r="H33" s="235"/>
    </row>
    <row r="34" spans="1:8" s="12" customFormat="1" ht="37.5">
      <c r="A34" s="28">
        <v>3</v>
      </c>
      <c r="B34" s="29" t="s">
        <v>281</v>
      </c>
      <c r="C34" s="45">
        <f>193330-6004-2235+2000</f>
        <v>187091</v>
      </c>
      <c r="D34" s="151">
        <v>291452</v>
      </c>
      <c r="E34" s="45">
        <v>218804</v>
      </c>
      <c r="F34" s="150">
        <f>E34-C34</f>
        <v>31713</v>
      </c>
      <c r="G34" s="154">
        <f>E34/C34*100%</f>
        <v>1.1695057485394809</v>
      </c>
      <c r="H34" s="235"/>
    </row>
    <row r="35" spans="1:8" s="155" customFormat="1" ht="27.75" customHeight="1">
      <c r="A35" s="25" t="s">
        <v>14</v>
      </c>
      <c r="B35" s="26" t="s">
        <v>137</v>
      </c>
      <c r="C35" s="153"/>
      <c r="D35" s="153"/>
      <c r="E35" s="153"/>
      <c r="F35" s="148">
        <f t="shared" si="2"/>
        <v>0</v>
      </c>
      <c r="G35" s="152"/>
      <c r="H35" s="235"/>
    </row>
    <row r="36" spans="1:8" s="155" customFormat="1" ht="27.75" customHeight="1">
      <c r="A36" s="156" t="s">
        <v>170</v>
      </c>
      <c r="B36" s="26" t="s">
        <v>422</v>
      </c>
      <c r="C36" s="153">
        <v>69851</v>
      </c>
      <c r="D36" s="153">
        <v>80255</v>
      </c>
      <c r="E36" s="153">
        <v>59644</v>
      </c>
      <c r="F36" s="148">
        <f t="shared" si="2"/>
        <v>-10207</v>
      </c>
      <c r="G36" s="152">
        <f t="shared" si="3"/>
        <v>0.853874676096262</v>
      </c>
      <c r="H36" s="235"/>
    </row>
    <row r="37" spans="1:8" s="24" customFormat="1" ht="27.75" customHeight="1">
      <c r="A37" s="156" t="s">
        <v>171</v>
      </c>
      <c r="B37" s="26" t="s">
        <v>282</v>
      </c>
      <c r="C37" s="153">
        <f>C38+C39</f>
        <v>92251</v>
      </c>
      <c r="D37" s="44">
        <f>D38+D39</f>
        <v>92251</v>
      </c>
      <c r="E37" s="153">
        <f>E38+E39</f>
        <v>72944</v>
      </c>
      <c r="F37" s="148">
        <f t="shared" si="2"/>
        <v>-19307</v>
      </c>
      <c r="G37" s="152">
        <f t="shared" si="3"/>
        <v>0.7907122958016716</v>
      </c>
      <c r="H37" s="235"/>
    </row>
    <row r="38" spans="1:8" s="12" customFormat="1" ht="27.75" customHeight="1">
      <c r="A38" s="28" t="s">
        <v>4</v>
      </c>
      <c r="B38" s="29" t="s">
        <v>283</v>
      </c>
      <c r="C38" s="45">
        <v>22400</v>
      </c>
      <c r="D38" s="151">
        <v>11996</v>
      </c>
      <c r="E38" s="45">
        <v>13300</v>
      </c>
      <c r="F38" s="150">
        <f t="shared" si="2"/>
        <v>-9100</v>
      </c>
      <c r="G38" s="154">
        <f t="shared" si="3"/>
        <v>0.59375</v>
      </c>
      <c r="H38" s="235"/>
    </row>
    <row r="39" spans="1:8" s="12" customFormat="1" ht="27.75" customHeight="1">
      <c r="A39" s="28" t="s">
        <v>10</v>
      </c>
      <c r="B39" s="29" t="s">
        <v>423</v>
      </c>
      <c r="C39" s="45">
        <v>69851</v>
      </c>
      <c r="D39" s="151">
        <v>80255</v>
      </c>
      <c r="E39" s="45">
        <v>59644</v>
      </c>
      <c r="F39" s="150">
        <f>E39-C39</f>
        <v>-10207</v>
      </c>
      <c r="G39" s="154">
        <f t="shared" si="3"/>
        <v>0.853874676096262</v>
      </c>
      <c r="H39" s="235"/>
    </row>
    <row r="40" spans="1:8" s="24" customFormat="1" ht="27.75" customHeight="1">
      <c r="A40" s="25" t="s">
        <v>131</v>
      </c>
      <c r="B40" s="157" t="s">
        <v>284</v>
      </c>
      <c r="C40" s="153">
        <f>SUM(C41:C42)</f>
        <v>22400</v>
      </c>
      <c r="D40" s="44">
        <f>SUM(D41:D42)</f>
        <v>11996</v>
      </c>
      <c r="E40" s="153">
        <f>SUM(E41:E42)</f>
        <v>13300</v>
      </c>
      <c r="F40" s="148">
        <f t="shared" si="2"/>
        <v>-9100</v>
      </c>
      <c r="G40" s="152">
        <f t="shared" si="3"/>
        <v>0.59375</v>
      </c>
      <c r="H40" s="235"/>
    </row>
    <row r="41" spans="1:8" s="12" customFormat="1" ht="27.75" customHeight="1">
      <c r="A41" s="28" t="s">
        <v>4</v>
      </c>
      <c r="B41" s="29" t="s">
        <v>188</v>
      </c>
      <c r="C41" s="45"/>
      <c r="D41" s="151"/>
      <c r="E41" s="45"/>
      <c r="F41" s="150"/>
      <c r="G41" s="154"/>
      <c r="H41" s="235"/>
    </row>
    <row r="42" spans="1:8" s="66" customFormat="1" ht="27.75" customHeight="1">
      <c r="A42" s="28" t="s">
        <v>10</v>
      </c>
      <c r="B42" s="29" t="s">
        <v>189</v>
      </c>
      <c r="C42" s="45">
        <v>22400</v>
      </c>
      <c r="D42" s="62">
        <v>11996</v>
      </c>
      <c r="E42" s="45">
        <v>13300</v>
      </c>
      <c r="F42" s="150">
        <f t="shared" si="2"/>
        <v>-9100</v>
      </c>
      <c r="G42" s="154">
        <f t="shared" si="3"/>
        <v>0.59375</v>
      </c>
      <c r="H42" s="235"/>
    </row>
    <row r="43" spans="1:7" ht="15.75" customHeight="1">
      <c r="A43" s="158"/>
      <c r="B43" s="158"/>
      <c r="C43" s="159"/>
      <c r="D43" s="159"/>
      <c r="E43" s="369"/>
      <c r="F43" s="160"/>
      <c r="G43" s="161"/>
    </row>
    <row r="44" spans="1:7" ht="18.75">
      <c r="A44" s="12"/>
      <c r="B44" s="162"/>
      <c r="C44" s="12"/>
      <c r="D44" s="12"/>
      <c r="E44" s="66"/>
      <c r="F44" s="163"/>
      <c r="G44" s="164"/>
    </row>
    <row r="45" spans="1:7" ht="59.25" customHeight="1">
      <c r="A45" s="571" t="s">
        <v>471</v>
      </c>
      <c r="B45" s="571"/>
      <c r="C45" s="571"/>
      <c r="D45" s="571"/>
      <c r="E45" s="571"/>
      <c r="F45" s="571"/>
      <c r="G45" s="571"/>
    </row>
    <row r="46" spans="1:7" ht="18.75">
      <c r="A46" s="12"/>
      <c r="B46" s="162"/>
      <c r="C46" s="12"/>
      <c r="D46" s="12"/>
      <c r="E46" s="66"/>
      <c r="F46" s="163"/>
      <c r="G46" s="164"/>
    </row>
    <row r="47" spans="1:7" ht="18.75">
      <c r="A47" s="12"/>
      <c r="B47" s="162"/>
      <c r="C47" s="12"/>
      <c r="D47" s="12"/>
      <c r="E47" s="66"/>
      <c r="F47" s="163"/>
      <c r="G47" s="164"/>
    </row>
    <row r="48" spans="1:7" ht="22.5" customHeight="1">
      <c r="A48" s="12"/>
      <c r="B48" s="162"/>
      <c r="C48" s="12"/>
      <c r="D48" s="12"/>
      <c r="E48" s="66"/>
      <c r="F48" s="163"/>
      <c r="G48" s="164"/>
    </row>
    <row r="49" spans="1:7" ht="18.75">
      <c r="A49" s="12"/>
      <c r="B49" s="162"/>
      <c r="C49" s="12"/>
      <c r="D49" s="12"/>
      <c r="E49" s="66"/>
      <c r="F49" s="163"/>
      <c r="G49" s="164"/>
    </row>
    <row r="50" spans="1:7" ht="18.75">
      <c r="A50" s="12"/>
      <c r="B50" s="162"/>
      <c r="C50" s="12"/>
      <c r="D50" s="12"/>
      <c r="E50" s="66"/>
      <c r="F50" s="163"/>
      <c r="G50" s="164"/>
    </row>
    <row r="51" spans="1:7" ht="18.75">
      <c r="A51" s="12"/>
      <c r="B51" s="162"/>
      <c r="C51" s="12"/>
      <c r="D51" s="12"/>
      <c r="E51" s="66"/>
      <c r="F51" s="163"/>
      <c r="G51" s="164"/>
    </row>
    <row r="52" spans="1:7" ht="18.75">
      <c r="A52" s="12"/>
      <c r="B52" s="162"/>
      <c r="C52" s="12"/>
      <c r="D52" s="12"/>
      <c r="E52" s="66"/>
      <c r="F52" s="163"/>
      <c r="G52" s="164"/>
    </row>
  </sheetData>
  <sheetProtection/>
  <mergeCells count="14">
    <mergeCell ref="A45:G45"/>
    <mergeCell ref="D1:G1"/>
    <mergeCell ref="A3:G3"/>
    <mergeCell ref="A4:G4"/>
    <mergeCell ref="E6:G6"/>
    <mergeCell ref="A7:A9"/>
    <mergeCell ref="B7:B9"/>
    <mergeCell ref="C7:C9"/>
    <mergeCell ref="D7:D9"/>
    <mergeCell ref="E7:E9"/>
    <mergeCell ref="F7:G7"/>
    <mergeCell ref="A5:G5"/>
    <mergeCell ref="F8:F9"/>
    <mergeCell ref="G8:G9"/>
  </mergeCells>
  <printOptions horizontalCentered="1"/>
  <pageMargins left="0.31" right="0.38" top="0.2" bottom="0.17" header="0.17" footer="0.2"/>
  <pageSetup fitToHeight="5" fitToWidth="1" horizontalDpi="600" verticalDpi="600" orientation="portrait" paperSize="9" scale="67" r:id="rId1"/>
  <headerFooter alignWithMargins="0">
    <oddFooter>&amp;C&amp;".VnTime,Italic"&amp;8
</oddFooter>
  </headerFooter>
</worksheet>
</file>

<file path=xl/worksheets/sheet10.xml><?xml version="1.0" encoding="utf-8"?>
<worksheet xmlns="http://schemas.openxmlformats.org/spreadsheetml/2006/main" xmlns:r="http://schemas.openxmlformats.org/officeDocument/2006/relationships">
  <dimension ref="A1:AA72"/>
  <sheetViews>
    <sheetView zoomScale="75" zoomScaleNormal="7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F14" sqref="A14:F14"/>
    </sheetView>
  </sheetViews>
  <sheetFormatPr defaultColWidth="8.796875" defaultRowHeight="15"/>
  <cols>
    <col min="1" max="1" width="4.69921875" style="460" customWidth="1"/>
    <col min="2" max="2" width="29.59765625" style="460" customWidth="1"/>
    <col min="3" max="3" width="9.5" style="459" customWidth="1"/>
    <col min="4" max="4" width="9.09765625" style="459" bestFit="1" customWidth="1"/>
    <col min="5" max="5" width="8.19921875" style="459" customWidth="1"/>
    <col min="6" max="6" width="6.8984375" style="459" customWidth="1"/>
    <col min="7" max="7" width="7" style="459" customWidth="1"/>
    <col min="8" max="8" width="7.09765625" style="459" customWidth="1"/>
    <col min="9" max="9" width="7.3984375" style="459" customWidth="1"/>
    <col min="10" max="10" width="6.8984375" style="459" customWidth="1"/>
    <col min="11" max="11" width="7.09765625" style="459" customWidth="1"/>
    <col min="12" max="12" width="6.5" style="459" customWidth="1"/>
    <col min="13" max="13" width="6.8984375" style="459" customWidth="1"/>
    <col min="14" max="14" width="7.8984375" style="459" customWidth="1"/>
    <col min="15" max="15" width="6.59765625" style="459" customWidth="1"/>
    <col min="16" max="16" width="6.8984375" style="459" customWidth="1"/>
    <col min="17" max="17" width="7.3984375" style="459" customWidth="1"/>
    <col min="18" max="18" width="6.19921875" style="459" customWidth="1"/>
    <col min="19" max="19" width="7.09765625" style="459" customWidth="1"/>
    <col min="20" max="20" width="7.19921875" style="459" customWidth="1"/>
    <col min="21" max="21" width="9.59765625" style="459" customWidth="1"/>
    <col min="22" max="16384" width="9" style="460" customWidth="1"/>
  </cols>
  <sheetData>
    <row r="1" spans="1:21" ht="21" customHeight="1">
      <c r="A1" s="638"/>
      <c r="B1" s="638"/>
      <c r="C1" s="458"/>
      <c r="O1" s="639" t="s">
        <v>196</v>
      </c>
      <c r="P1" s="639"/>
      <c r="Q1" s="639"/>
      <c r="R1" s="639"/>
      <c r="S1" s="639"/>
      <c r="T1" s="639"/>
      <c r="U1" s="639"/>
    </row>
    <row r="2" spans="1:21" ht="21" customHeight="1">
      <c r="A2" s="640" t="s">
        <v>592</v>
      </c>
      <c r="B2" s="640"/>
      <c r="C2" s="640"/>
      <c r="D2" s="640"/>
      <c r="E2" s="640"/>
      <c r="F2" s="640"/>
      <c r="G2" s="640"/>
      <c r="H2" s="640"/>
      <c r="I2" s="640"/>
      <c r="J2" s="640"/>
      <c r="K2" s="640"/>
      <c r="L2" s="640"/>
      <c r="M2" s="640"/>
      <c r="N2" s="640"/>
      <c r="O2" s="640"/>
      <c r="P2" s="640"/>
      <c r="Q2" s="640"/>
      <c r="R2" s="640"/>
      <c r="S2" s="640"/>
      <c r="T2" s="640"/>
      <c r="U2" s="640"/>
    </row>
    <row r="3" spans="1:21" ht="18" customHeight="1">
      <c r="A3" s="641" t="str">
        <f>'Biểu 15-NQ'!A4:G4</f>
        <v>(Kèm theo Nghị quyết số   96 /NQ-HĐND ngày  07  tháng 12 năm 2018 của HĐND tỉnh Điện Biên)</v>
      </c>
      <c r="B3" s="641"/>
      <c r="C3" s="641"/>
      <c r="D3" s="641"/>
      <c r="E3" s="641"/>
      <c r="F3" s="641"/>
      <c r="G3" s="641"/>
      <c r="H3" s="641"/>
      <c r="I3" s="641"/>
      <c r="J3" s="641"/>
      <c r="K3" s="641"/>
      <c r="L3" s="641"/>
      <c r="M3" s="641"/>
      <c r="N3" s="641"/>
      <c r="O3" s="641"/>
      <c r="P3" s="641"/>
      <c r="Q3" s="641"/>
      <c r="R3" s="641"/>
      <c r="S3" s="641"/>
      <c r="T3" s="641"/>
      <c r="U3" s="641"/>
    </row>
    <row r="4" spans="1:21" ht="19.5" customHeight="1">
      <c r="A4" s="461"/>
      <c r="B4" s="461"/>
      <c r="C4" s="462"/>
      <c r="P4" s="642" t="s">
        <v>17</v>
      </c>
      <c r="Q4" s="642"/>
      <c r="R4" s="642"/>
      <c r="S4" s="642"/>
      <c r="T4" s="642"/>
      <c r="U4" s="642"/>
    </row>
    <row r="5" spans="1:21" ht="30" customHeight="1">
      <c r="A5" s="643" t="s">
        <v>1</v>
      </c>
      <c r="B5" s="643" t="s">
        <v>53</v>
      </c>
      <c r="C5" s="636" t="s">
        <v>350</v>
      </c>
      <c r="D5" s="645" t="s">
        <v>578</v>
      </c>
      <c r="E5" s="645"/>
      <c r="F5" s="645"/>
      <c r="G5" s="645"/>
      <c r="H5" s="645"/>
      <c r="I5" s="645"/>
      <c r="J5" s="645"/>
      <c r="K5" s="645"/>
      <c r="L5" s="645"/>
      <c r="M5" s="645"/>
      <c r="N5" s="645"/>
      <c r="O5" s="645"/>
      <c r="P5" s="645"/>
      <c r="Q5" s="645"/>
      <c r="R5" s="645"/>
      <c r="S5" s="645"/>
      <c r="T5" s="636" t="s">
        <v>577</v>
      </c>
      <c r="U5" s="636" t="s">
        <v>579</v>
      </c>
    </row>
    <row r="6" spans="1:27" ht="30" customHeight="1">
      <c r="A6" s="643"/>
      <c r="B6" s="643"/>
      <c r="C6" s="636"/>
      <c r="D6" s="636" t="s">
        <v>54</v>
      </c>
      <c r="E6" s="636" t="s">
        <v>197</v>
      </c>
      <c r="F6" s="636" t="s">
        <v>198</v>
      </c>
      <c r="G6" s="636" t="s">
        <v>199</v>
      </c>
      <c r="H6" s="636" t="s">
        <v>200</v>
      </c>
      <c r="I6" s="636" t="s">
        <v>201</v>
      </c>
      <c r="J6" s="636" t="s">
        <v>202</v>
      </c>
      <c r="K6" s="636" t="s">
        <v>203</v>
      </c>
      <c r="L6" s="636" t="s">
        <v>204</v>
      </c>
      <c r="M6" s="636" t="s">
        <v>205</v>
      </c>
      <c r="N6" s="636" t="s">
        <v>206</v>
      </c>
      <c r="O6" s="636" t="s">
        <v>144</v>
      </c>
      <c r="P6" s="636"/>
      <c r="Q6" s="636" t="s">
        <v>207</v>
      </c>
      <c r="R6" s="636" t="s">
        <v>208</v>
      </c>
      <c r="S6" s="636" t="s">
        <v>209</v>
      </c>
      <c r="T6" s="637"/>
      <c r="U6" s="637"/>
      <c r="V6" s="464"/>
      <c r="W6" s="464"/>
      <c r="X6" s="464"/>
      <c r="Y6" s="464"/>
      <c r="Z6" s="464"/>
      <c r="AA6" s="464"/>
    </row>
    <row r="7" spans="1:22" ht="148.5" customHeight="1">
      <c r="A7" s="644"/>
      <c r="B7" s="644"/>
      <c r="C7" s="637"/>
      <c r="D7" s="637"/>
      <c r="E7" s="637"/>
      <c r="F7" s="637"/>
      <c r="G7" s="637"/>
      <c r="H7" s="637"/>
      <c r="I7" s="637"/>
      <c r="J7" s="637"/>
      <c r="K7" s="637"/>
      <c r="L7" s="637"/>
      <c r="M7" s="637"/>
      <c r="N7" s="637"/>
      <c r="O7" s="463" t="s">
        <v>210</v>
      </c>
      <c r="P7" s="463" t="s">
        <v>211</v>
      </c>
      <c r="Q7" s="637"/>
      <c r="R7" s="637"/>
      <c r="S7" s="637"/>
      <c r="T7" s="637"/>
      <c r="U7" s="637"/>
      <c r="V7" s="466"/>
    </row>
    <row r="8" spans="1:27" s="469" customFormat="1" ht="29.25" customHeight="1">
      <c r="A8" s="465" t="s">
        <v>3</v>
      </c>
      <c r="B8" s="465" t="s">
        <v>12</v>
      </c>
      <c r="C8" s="467" t="s">
        <v>580</v>
      </c>
      <c r="D8" s="467">
        <v>2</v>
      </c>
      <c r="E8" s="467">
        <v>3</v>
      </c>
      <c r="F8" s="467">
        <v>4</v>
      </c>
      <c r="G8" s="467">
        <v>5</v>
      </c>
      <c r="H8" s="467">
        <v>6</v>
      </c>
      <c r="I8" s="467">
        <v>7</v>
      </c>
      <c r="J8" s="467">
        <v>8</v>
      </c>
      <c r="K8" s="467">
        <v>9</v>
      </c>
      <c r="L8" s="467">
        <v>10</v>
      </c>
      <c r="M8" s="467">
        <v>11</v>
      </c>
      <c r="N8" s="467">
        <v>12</v>
      </c>
      <c r="O8" s="467">
        <v>13</v>
      </c>
      <c r="P8" s="467">
        <v>14</v>
      </c>
      <c r="Q8" s="467">
        <v>15</v>
      </c>
      <c r="R8" s="467">
        <v>16</v>
      </c>
      <c r="S8" s="467">
        <v>17</v>
      </c>
      <c r="T8" s="467">
        <v>18</v>
      </c>
      <c r="U8" s="467">
        <v>19</v>
      </c>
      <c r="V8" s="468"/>
      <c r="W8" s="468"/>
      <c r="X8" s="468"/>
      <c r="Y8" s="468"/>
      <c r="Z8" s="468"/>
      <c r="AA8" s="468"/>
    </row>
    <row r="9" spans="1:27" ht="27.75" customHeight="1">
      <c r="A9" s="470"/>
      <c r="B9" s="470" t="s">
        <v>2</v>
      </c>
      <c r="C9" s="471">
        <f>D9+T9+U9</f>
        <v>2031816</v>
      </c>
      <c r="D9" s="471">
        <f>SUM(E9:N9,Q9:S9)</f>
        <v>1906023</v>
      </c>
      <c r="E9" s="471">
        <f aca="true" t="shared" si="0" ref="E9:T9">E10+E59</f>
        <v>523334</v>
      </c>
      <c r="F9" s="471">
        <f t="shared" si="0"/>
        <v>10510</v>
      </c>
      <c r="G9" s="471">
        <f t="shared" si="0"/>
        <v>67870</v>
      </c>
      <c r="H9" s="471">
        <f t="shared" si="0"/>
        <v>9000</v>
      </c>
      <c r="I9" s="471">
        <f t="shared" si="0"/>
        <v>672571</v>
      </c>
      <c r="J9" s="471">
        <f t="shared" si="0"/>
        <v>41745</v>
      </c>
      <c r="K9" s="471">
        <f t="shared" si="0"/>
        <v>32438</v>
      </c>
      <c r="L9" s="471">
        <f t="shared" si="0"/>
        <v>5324</v>
      </c>
      <c r="M9" s="471">
        <f t="shared" si="0"/>
        <v>7776</v>
      </c>
      <c r="N9" s="471">
        <f t="shared" si="0"/>
        <v>150204</v>
      </c>
      <c r="O9" s="471">
        <f t="shared" si="0"/>
        <v>43630</v>
      </c>
      <c r="P9" s="471">
        <f t="shared" si="0"/>
        <v>42374</v>
      </c>
      <c r="Q9" s="471">
        <f t="shared" si="0"/>
        <v>358690</v>
      </c>
      <c r="R9" s="471">
        <f t="shared" si="0"/>
        <v>25561</v>
      </c>
      <c r="S9" s="471">
        <f t="shared" si="0"/>
        <v>1000</v>
      </c>
      <c r="T9" s="471">
        <f t="shared" si="0"/>
        <v>15950</v>
      </c>
      <c r="U9" s="471">
        <f>U10+U59</f>
        <v>109843</v>
      </c>
      <c r="V9" s="634"/>
      <c r="W9" s="634"/>
      <c r="X9" s="472"/>
      <c r="Y9" s="472"/>
      <c r="Z9" s="472"/>
      <c r="AA9" s="472"/>
    </row>
    <row r="10" spans="1:21" s="476" customFormat="1" ht="24.75" customHeight="1">
      <c r="A10" s="473" t="s">
        <v>4</v>
      </c>
      <c r="B10" s="474" t="s">
        <v>568</v>
      </c>
      <c r="C10" s="475">
        <f aca="true" t="shared" si="1" ref="C10:C71">D10+T10+U10</f>
        <v>2017916</v>
      </c>
      <c r="D10" s="475">
        <f>SUM(E10:N10,Q10:S10)</f>
        <v>1892703</v>
      </c>
      <c r="E10" s="475">
        <f>SUM(E11:E58)</f>
        <v>523334</v>
      </c>
      <c r="F10" s="475">
        <f aca="true" t="shared" si="2" ref="F10:T10">SUM(F11:F58)</f>
        <v>10510</v>
      </c>
      <c r="G10" s="475">
        <f t="shared" si="2"/>
        <v>67870</v>
      </c>
      <c r="H10" s="475">
        <f t="shared" si="2"/>
        <v>9000</v>
      </c>
      <c r="I10" s="475">
        <f t="shared" si="2"/>
        <v>672571</v>
      </c>
      <c r="J10" s="475">
        <f t="shared" si="2"/>
        <v>41745</v>
      </c>
      <c r="K10" s="475">
        <f t="shared" si="2"/>
        <v>32438</v>
      </c>
      <c r="L10" s="475">
        <f t="shared" si="2"/>
        <v>5324</v>
      </c>
      <c r="M10" s="475">
        <f t="shared" si="2"/>
        <v>7776</v>
      </c>
      <c r="N10" s="475">
        <f t="shared" si="2"/>
        <v>149704</v>
      </c>
      <c r="O10" s="475">
        <f t="shared" si="2"/>
        <v>43630</v>
      </c>
      <c r="P10" s="475">
        <f t="shared" si="2"/>
        <v>42374</v>
      </c>
      <c r="Q10" s="475">
        <f t="shared" si="2"/>
        <v>345870</v>
      </c>
      <c r="R10" s="475">
        <f t="shared" si="2"/>
        <v>25561</v>
      </c>
      <c r="S10" s="475">
        <f t="shared" si="2"/>
        <v>1000</v>
      </c>
      <c r="T10" s="475">
        <f t="shared" si="2"/>
        <v>15950</v>
      </c>
      <c r="U10" s="475">
        <f>SUM(U11:U58)</f>
        <v>109263</v>
      </c>
    </row>
    <row r="11" spans="1:21" ht="36.75" customHeight="1">
      <c r="A11" s="477">
        <v>1</v>
      </c>
      <c r="B11" s="478" t="s">
        <v>212</v>
      </c>
      <c r="C11" s="479">
        <f t="shared" si="1"/>
        <v>14589</v>
      </c>
      <c r="D11" s="480">
        <f aca="true" t="shared" si="3" ref="D11:D71">SUM(E11:N11,Q11:S11)</f>
        <v>14589</v>
      </c>
      <c r="E11" s="480"/>
      <c r="F11" s="480"/>
      <c r="G11" s="480"/>
      <c r="H11" s="480"/>
      <c r="I11" s="480"/>
      <c r="J11" s="480"/>
      <c r="K11" s="480"/>
      <c r="L11" s="480"/>
      <c r="M11" s="480"/>
      <c r="N11" s="480"/>
      <c r="O11" s="480"/>
      <c r="P11" s="480"/>
      <c r="Q11" s="480">
        <v>14589</v>
      </c>
      <c r="R11" s="480"/>
      <c r="S11" s="480"/>
      <c r="T11" s="480"/>
      <c r="U11" s="480"/>
    </row>
    <row r="12" spans="1:21" ht="36.75" customHeight="1">
      <c r="A12" s="477">
        <v>2</v>
      </c>
      <c r="B12" s="478" t="s">
        <v>213</v>
      </c>
      <c r="C12" s="479">
        <f t="shared" si="1"/>
        <v>23399</v>
      </c>
      <c r="D12" s="480">
        <f t="shared" si="3"/>
        <v>23399</v>
      </c>
      <c r="E12" s="480"/>
      <c r="F12" s="480"/>
      <c r="G12" s="480"/>
      <c r="H12" s="480"/>
      <c r="I12" s="480"/>
      <c r="J12" s="480"/>
      <c r="K12" s="480"/>
      <c r="L12" s="480"/>
      <c r="M12" s="480"/>
      <c r="N12" s="480">
        <v>2625</v>
      </c>
      <c r="O12" s="480"/>
      <c r="P12" s="480"/>
      <c r="Q12" s="480">
        <v>20774</v>
      </c>
      <c r="R12" s="480"/>
      <c r="S12" s="480"/>
      <c r="T12" s="480"/>
      <c r="U12" s="480"/>
    </row>
    <row r="13" spans="1:21" ht="36.75" customHeight="1">
      <c r="A13" s="477">
        <v>3</v>
      </c>
      <c r="B13" s="478" t="s">
        <v>214</v>
      </c>
      <c r="C13" s="479">
        <f t="shared" si="1"/>
        <v>81000</v>
      </c>
      <c r="D13" s="480">
        <f t="shared" si="3"/>
        <v>81000</v>
      </c>
      <c r="E13" s="480"/>
      <c r="F13" s="480"/>
      <c r="G13" s="480"/>
      <c r="H13" s="480"/>
      <c r="I13" s="480">
        <v>1000</v>
      </c>
      <c r="J13" s="480"/>
      <c r="K13" s="480"/>
      <c r="L13" s="480"/>
      <c r="M13" s="480"/>
      <c r="N13" s="480"/>
      <c r="O13" s="480"/>
      <c r="P13" s="480"/>
      <c r="Q13" s="480">
        <v>80000</v>
      </c>
      <c r="R13" s="480"/>
      <c r="S13" s="480"/>
      <c r="T13" s="480"/>
      <c r="U13" s="480"/>
    </row>
    <row r="14" spans="1:21" ht="36.75" customHeight="1">
      <c r="A14" s="477">
        <v>4</v>
      </c>
      <c r="B14" s="478" t="s">
        <v>215</v>
      </c>
      <c r="C14" s="479">
        <f t="shared" si="1"/>
        <v>507896</v>
      </c>
      <c r="D14" s="480">
        <f t="shared" si="3"/>
        <v>457296</v>
      </c>
      <c r="E14" s="480">
        <v>448337</v>
      </c>
      <c r="F14" s="480"/>
      <c r="G14" s="480"/>
      <c r="H14" s="480"/>
      <c r="I14" s="480"/>
      <c r="J14" s="480"/>
      <c r="K14" s="480"/>
      <c r="L14" s="480"/>
      <c r="M14" s="480"/>
      <c r="N14" s="480"/>
      <c r="O14" s="480"/>
      <c r="P14" s="480"/>
      <c r="Q14" s="480">
        <v>8959</v>
      </c>
      <c r="R14" s="480"/>
      <c r="S14" s="480"/>
      <c r="T14" s="480">
        <v>3000</v>
      </c>
      <c r="U14" s="480">
        <v>47600</v>
      </c>
    </row>
    <row r="15" spans="1:21" ht="36.75" customHeight="1">
      <c r="A15" s="477">
        <v>5</v>
      </c>
      <c r="B15" s="478" t="s">
        <v>216</v>
      </c>
      <c r="C15" s="479">
        <f t="shared" si="1"/>
        <v>9122</v>
      </c>
      <c r="D15" s="480">
        <f t="shared" si="3"/>
        <v>9122</v>
      </c>
      <c r="E15" s="480"/>
      <c r="F15" s="480"/>
      <c r="G15" s="480"/>
      <c r="H15" s="480"/>
      <c r="I15" s="480"/>
      <c r="J15" s="480"/>
      <c r="K15" s="480"/>
      <c r="L15" s="480"/>
      <c r="M15" s="480"/>
      <c r="N15" s="480">
        <v>3795</v>
      </c>
      <c r="O15" s="480"/>
      <c r="P15" s="480"/>
      <c r="Q15" s="480">
        <v>5327</v>
      </c>
      <c r="R15" s="480"/>
      <c r="S15" s="480"/>
      <c r="T15" s="480"/>
      <c r="U15" s="480"/>
    </row>
    <row r="16" spans="1:21" ht="36.75" customHeight="1">
      <c r="A16" s="477">
        <v>6</v>
      </c>
      <c r="B16" s="481" t="s">
        <v>585</v>
      </c>
      <c r="C16" s="479">
        <f t="shared" si="1"/>
        <v>120692</v>
      </c>
      <c r="D16" s="480">
        <f t="shared" si="3"/>
        <v>111470</v>
      </c>
      <c r="E16" s="480"/>
      <c r="F16" s="480"/>
      <c r="G16" s="480"/>
      <c r="H16" s="480"/>
      <c r="I16" s="480"/>
      <c r="J16" s="480"/>
      <c r="K16" s="480"/>
      <c r="L16" s="480"/>
      <c r="M16" s="480">
        <v>3785</v>
      </c>
      <c r="N16" s="480">
        <v>43811</v>
      </c>
      <c r="O16" s="480"/>
      <c r="P16" s="480">
        <v>42374</v>
      </c>
      <c r="Q16" s="480">
        <v>63874</v>
      </c>
      <c r="R16" s="480"/>
      <c r="S16" s="480"/>
      <c r="T16" s="480">
        <v>1945</v>
      </c>
      <c r="U16" s="480">
        <v>7277</v>
      </c>
    </row>
    <row r="17" spans="1:21" ht="36.75" customHeight="1">
      <c r="A17" s="477">
        <v>7</v>
      </c>
      <c r="B17" s="478" t="s">
        <v>217</v>
      </c>
      <c r="C17" s="479">
        <f t="shared" si="1"/>
        <v>379405</v>
      </c>
      <c r="D17" s="480">
        <f t="shared" si="3"/>
        <v>348820</v>
      </c>
      <c r="E17" s="480">
        <v>14810</v>
      </c>
      <c r="F17" s="480"/>
      <c r="G17" s="480"/>
      <c r="H17" s="480"/>
      <c r="I17" s="480">
        <v>323201</v>
      </c>
      <c r="J17" s="480"/>
      <c r="K17" s="480"/>
      <c r="L17" s="480"/>
      <c r="M17" s="480"/>
      <c r="N17" s="480"/>
      <c r="O17" s="480"/>
      <c r="P17" s="480"/>
      <c r="Q17" s="480">
        <v>10009</v>
      </c>
      <c r="R17" s="480">
        <v>800</v>
      </c>
      <c r="S17" s="480"/>
      <c r="T17" s="480"/>
      <c r="U17" s="480">
        <v>30585</v>
      </c>
    </row>
    <row r="18" spans="1:21" ht="39" customHeight="1">
      <c r="A18" s="477">
        <v>8</v>
      </c>
      <c r="B18" s="478" t="s">
        <v>218</v>
      </c>
      <c r="C18" s="479">
        <f t="shared" si="1"/>
        <v>58492</v>
      </c>
      <c r="D18" s="480">
        <f t="shared" si="3"/>
        <v>57259</v>
      </c>
      <c r="E18" s="480"/>
      <c r="F18" s="480"/>
      <c r="G18" s="480"/>
      <c r="H18" s="480"/>
      <c r="I18" s="480"/>
      <c r="J18" s="480">
        <v>40115</v>
      </c>
      <c r="K18" s="480"/>
      <c r="L18" s="480">
        <v>5324</v>
      </c>
      <c r="M18" s="480"/>
      <c r="N18" s="480">
        <f>2874+98</f>
        <v>2972</v>
      </c>
      <c r="O18" s="480"/>
      <c r="P18" s="480"/>
      <c r="Q18" s="480">
        <v>8848</v>
      </c>
      <c r="R18" s="480"/>
      <c r="S18" s="480"/>
      <c r="T18" s="480">
        <v>100</v>
      </c>
      <c r="U18" s="480">
        <v>1133</v>
      </c>
    </row>
    <row r="19" spans="1:21" ht="36.75" customHeight="1">
      <c r="A19" s="477">
        <v>9</v>
      </c>
      <c r="B19" s="478" t="s">
        <v>219</v>
      </c>
      <c r="C19" s="479">
        <f t="shared" si="1"/>
        <v>11296</v>
      </c>
      <c r="D19" s="480">
        <f t="shared" si="3"/>
        <v>10651</v>
      </c>
      <c r="E19" s="480"/>
      <c r="F19" s="480"/>
      <c r="G19" s="480"/>
      <c r="H19" s="480"/>
      <c r="I19" s="480"/>
      <c r="J19" s="480"/>
      <c r="K19" s="480"/>
      <c r="L19" s="480"/>
      <c r="M19" s="480"/>
      <c r="N19" s="480"/>
      <c r="O19" s="480"/>
      <c r="P19" s="480"/>
      <c r="Q19" s="480">
        <v>10651</v>
      </c>
      <c r="R19" s="480"/>
      <c r="S19" s="480"/>
      <c r="T19" s="480"/>
      <c r="U19" s="480">
        <v>645</v>
      </c>
    </row>
    <row r="20" spans="1:21" ht="36.75" customHeight="1">
      <c r="A20" s="477">
        <v>10</v>
      </c>
      <c r="B20" s="478" t="s">
        <v>220</v>
      </c>
      <c r="C20" s="479">
        <f t="shared" si="1"/>
        <v>35691</v>
      </c>
      <c r="D20" s="480">
        <f t="shared" si="3"/>
        <v>32724</v>
      </c>
      <c r="E20" s="480"/>
      <c r="F20" s="480"/>
      <c r="G20" s="480"/>
      <c r="H20" s="480"/>
      <c r="I20" s="480"/>
      <c r="J20" s="480"/>
      <c r="K20" s="480"/>
      <c r="L20" s="480"/>
      <c r="M20" s="480"/>
      <c r="N20" s="480">
        <v>1491</v>
      </c>
      <c r="O20" s="480"/>
      <c r="P20" s="480"/>
      <c r="Q20" s="480">
        <v>8210</v>
      </c>
      <c r="R20" s="480">
        <v>23023</v>
      </c>
      <c r="S20" s="480"/>
      <c r="T20" s="480">
        <v>684</v>
      </c>
      <c r="U20" s="480">
        <v>2283</v>
      </c>
    </row>
    <row r="21" spans="1:21" ht="36.75" customHeight="1">
      <c r="A21" s="477">
        <v>11</v>
      </c>
      <c r="B21" s="478" t="s">
        <v>221</v>
      </c>
      <c r="C21" s="479">
        <f t="shared" si="1"/>
        <v>8105</v>
      </c>
      <c r="D21" s="480">
        <f t="shared" si="3"/>
        <v>8105</v>
      </c>
      <c r="E21" s="480"/>
      <c r="F21" s="480"/>
      <c r="G21" s="480"/>
      <c r="H21" s="480"/>
      <c r="I21" s="480"/>
      <c r="J21" s="480"/>
      <c r="K21" s="480"/>
      <c r="L21" s="480"/>
      <c r="M21" s="480"/>
      <c r="N21" s="480">
        <v>0</v>
      </c>
      <c r="O21" s="480"/>
      <c r="P21" s="480"/>
      <c r="Q21" s="480">
        <v>8105</v>
      </c>
      <c r="R21" s="480"/>
      <c r="S21" s="480"/>
      <c r="T21" s="480"/>
      <c r="U21" s="480"/>
    </row>
    <row r="22" spans="1:21" ht="36.75" customHeight="1">
      <c r="A22" s="477">
        <v>12</v>
      </c>
      <c r="B22" s="478" t="s">
        <v>222</v>
      </c>
      <c r="C22" s="479">
        <f t="shared" si="1"/>
        <v>10963</v>
      </c>
      <c r="D22" s="480">
        <f t="shared" si="3"/>
        <v>10963</v>
      </c>
      <c r="E22" s="480"/>
      <c r="F22" s="480"/>
      <c r="G22" s="480"/>
      <c r="H22" s="480"/>
      <c r="I22" s="480"/>
      <c r="J22" s="480"/>
      <c r="K22" s="480"/>
      <c r="L22" s="480"/>
      <c r="M22" s="480"/>
      <c r="N22" s="480"/>
      <c r="O22" s="480"/>
      <c r="P22" s="480"/>
      <c r="Q22" s="480">
        <v>10963</v>
      </c>
      <c r="R22" s="480"/>
      <c r="S22" s="480"/>
      <c r="T22" s="480"/>
      <c r="U22" s="480"/>
    </row>
    <row r="23" spans="1:21" ht="36.75" customHeight="1">
      <c r="A23" s="477">
        <v>13</v>
      </c>
      <c r="B23" s="478" t="s">
        <v>223</v>
      </c>
      <c r="C23" s="479">
        <f t="shared" si="1"/>
        <v>26788</v>
      </c>
      <c r="D23" s="480">
        <f t="shared" si="3"/>
        <v>26388</v>
      </c>
      <c r="E23" s="480"/>
      <c r="F23" s="480"/>
      <c r="G23" s="480"/>
      <c r="H23" s="480"/>
      <c r="I23" s="480"/>
      <c r="J23" s="480"/>
      <c r="K23" s="480"/>
      <c r="L23" s="480"/>
      <c r="M23" s="480">
        <v>3798</v>
      </c>
      <c r="N23" s="480">
        <v>15828</v>
      </c>
      <c r="O23" s="480"/>
      <c r="P23" s="480"/>
      <c r="Q23" s="480">
        <v>6762</v>
      </c>
      <c r="R23" s="480"/>
      <c r="S23" s="480"/>
      <c r="T23" s="480"/>
      <c r="U23" s="480">
        <v>400</v>
      </c>
    </row>
    <row r="24" spans="1:23" ht="36.75" customHeight="1">
      <c r="A24" s="477">
        <v>14</v>
      </c>
      <c r="B24" s="478" t="s">
        <v>224</v>
      </c>
      <c r="C24" s="479">
        <f t="shared" si="1"/>
        <v>141</v>
      </c>
      <c r="D24" s="480">
        <f t="shared" si="3"/>
        <v>141</v>
      </c>
      <c r="E24" s="480"/>
      <c r="F24" s="480"/>
      <c r="G24" s="480"/>
      <c r="H24" s="480"/>
      <c r="I24" s="480"/>
      <c r="J24" s="480"/>
      <c r="K24" s="480"/>
      <c r="L24" s="480"/>
      <c r="M24" s="480"/>
      <c r="N24" s="480">
        <v>141</v>
      </c>
      <c r="O24" s="480"/>
      <c r="P24" s="480"/>
      <c r="Q24" s="480"/>
      <c r="R24" s="480"/>
      <c r="S24" s="480"/>
      <c r="T24" s="480"/>
      <c r="U24" s="480"/>
      <c r="V24" s="635"/>
      <c r="W24" s="635"/>
    </row>
    <row r="25" spans="1:21" ht="36.75" customHeight="1">
      <c r="A25" s="477">
        <v>15</v>
      </c>
      <c r="B25" s="478" t="s">
        <v>225</v>
      </c>
      <c r="C25" s="479">
        <f t="shared" si="1"/>
        <v>6177</v>
      </c>
      <c r="D25" s="480">
        <f t="shared" si="3"/>
        <v>6177</v>
      </c>
      <c r="E25" s="480"/>
      <c r="F25" s="480"/>
      <c r="G25" s="480"/>
      <c r="H25" s="480"/>
      <c r="I25" s="480"/>
      <c r="J25" s="480"/>
      <c r="K25" s="480"/>
      <c r="L25" s="480"/>
      <c r="M25" s="480"/>
      <c r="N25" s="480"/>
      <c r="O25" s="480"/>
      <c r="P25" s="480"/>
      <c r="Q25" s="480">
        <v>6177</v>
      </c>
      <c r="R25" s="480"/>
      <c r="S25" s="480"/>
      <c r="T25" s="480"/>
      <c r="U25" s="480"/>
    </row>
    <row r="26" spans="1:21" ht="36.75" customHeight="1">
      <c r="A26" s="477">
        <v>16</v>
      </c>
      <c r="B26" s="478" t="s">
        <v>226</v>
      </c>
      <c r="C26" s="479">
        <f t="shared" si="1"/>
        <v>15322</v>
      </c>
      <c r="D26" s="480">
        <f t="shared" si="3"/>
        <v>15322</v>
      </c>
      <c r="E26" s="480"/>
      <c r="F26" s="480">
        <v>10510</v>
      </c>
      <c r="G26" s="480"/>
      <c r="H26" s="480"/>
      <c r="I26" s="480"/>
      <c r="J26" s="480"/>
      <c r="K26" s="480"/>
      <c r="L26" s="480"/>
      <c r="M26" s="480"/>
      <c r="N26" s="480"/>
      <c r="O26" s="480"/>
      <c r="P26" s="480"/>
      <c r="Q26" s="480">
        <v>4812</v>
      </c>
      <c r="R26" s="480"/>
      <c r="S26" s="480"/>
      <c r="T26" s="480"/>
      <c r="U26" s="480"/>
    </row>
    <row r="27" spans="1:21" ht="36.75" customHeight="1">
      <c r="A27" s="477">
        <v>17</v>
      </c>
      <c r="B27" s="478" t="s">
        <v>227</v>
      </c>
      <c r="C27" s="479">
        <f t="shared" si="1"/>
        <v>19828</v>
      </c>
      <c r="D27" s="480">
        <f t="shared" si="3"/>
        <v>16271</v>
      </c>
      <c r="E27" s="480"/>
      <c r="F27" s="480"/>
      <c r="G27" s="480"/>
      <c r="H27" s="480"/>
      <c r="I27" s="480"/>
      <c r="J27" s="480"/>
      <c r="K27" s="480"/>
      <c r="L27" s="480"/>
      <c r="M27" s="480"/>
      <c r="N27" s="480">
        <v>4503</v>
      </c>
      <c r="O27" s="480"/>
      <c r="P27" s="480"/>
      <c r="Q27" s="480">
        <v>11768</v>
      </c>
      <c r="R27" s="480"/>
      <c r="S27" s="480"/>
      <c r="T27" s="480">
        <v>80</v>
      </c>
      <c r="U27" s="480">
        <v>3477</v>
      </c>
    </row>
    <row r="28" spans="1:21" ht="36.75" customHeight="1">
      <c r="A28" s="477">
        <v>18</v>
      </c>
      <c r="B28" s="478" t="s">
        <v>228</v>
      </c>
      <c r="C28" s="479">
        <f t="shared" si="1"/>
        <v>4724</v>
      </c>
      <c r="D28" s="480">
        <f t="shared" si="3"/>
        <v>4724</v>
      </c>
      <c r="E28" s="480"/>
      <c r="F28" s="480"/>
      <c r="G28" s="480"/>
      <c r="H28" s="480"/>
      <c r="I28" s="480"/>
      <c r="J28" s="480"/>
      <c r="K28" s="480"/>
      <c r="L28" s="480"/>
      <c r="M28" s="480"/>
      <c r="N28" s="480"/>
      <c r="O28" s="480"/>
      <c r="P28" s="480"/>
      <c r="Q28" s="480">
        <v>4724</v>
      </c>
      <c r="R28" s="480"/>
      <c r="S28" s="480"/>
      <c r="T28" s="480"/>
      <c r="U28" s="480"/>
    </row>
    <row r="29" spans="1:21" ht="36.75" customHeight="1">
      <c r="A29" s="477">
        <v>19</v>
      </c>
      <c r="B29" s="478" t="s">
        <v>229</v>
      </c>
      <c r="C29" s="479">
        <f t="shared" si="1"/>
        <v>11974</v>
      </c>
      <c r="D29" s="480">
        <f t="shared" si="3"/>
        <v>5418</v>
      </c>
      <c r="E29" s="480"/>
      <c r="F29" s="480"/>
      <c r="G29" s="480"/>
      <c r="H29" s="480"/>
      <c r="I29" s="480"/>
      <c r="J29" s="480"/>
      <c r="K29" s="480"/>
      <c r="L29" s="480"/>
      <c r="M29" s="480"/>
      <c r="N29" s="480"/>
      <c r="O29" s="480"/>
      <c r="P29" s="480"/>
      <c r="Q29" s="480">
        <v>3680</v>
      </c>
      <c r="R29" s="480">
        <v>1738</v>
      </c>
      <c r="S29" s="480"/>
      <c r="T29" s="480">
        <v>4631</v>
      </c>
      <c r="U29" s="480">
        <f>315+1610</f>
        <v>1925</v>
      </c>
    </row>
    <row r="30" spans="1:21" ht="36.75" customHeight="1">
      <c r="A30" s="477">
        <v>20</v>
      </c>
      <c r="B30" s="478" t="s">
        <v>230</v>
      </c>
      <c r="C30" s="479">
        <f t="shared" si="1"/>
        <v>32438</v>
      </c>
      <c r="D30" s="480">
        <f t="shared" si="3"/>
        <v>32438</v>
      </c>
      <c r="E30" s="480"/>
      <c r="F30" s="480"/>
      <c r="G30" s="480"/>
      <c r="H30" s="480"/>
      <c r="I30" s="480"/>
      <c r="J30" s="480"/>
      <c r="K30" s="480">
        <v>32438</v>
      </c>
      <c r="L30" s="480"/>
      <c r="M30" s="480"/>
      <c r="N30" s="480"/>
      <c r="O30" s="480"/>
      <c r="P30" s="480"/>
      <c r="Q30" s="480"/>
      <c r="R30" s="480"/>
      <c r="S30" s="480"/>
      <c r="T30" s="480"/>
      <c r="U30" s="480"/>
    </row>
    <row r="31" spans="1:21" ht="36.75" customHeight="1">
      <c r="A31" s="477">
        <v>21</v>
      </c>
      <c r="B31" s="478" t="s">
        <v>231</v>
      </c>
      <c r="C31" s="479">
        <f t="shared" si="1"/>
        <v>26233</v>
      </c>
      <c r="D31" s="480">
        <f t="shared" si="3"/>
        <v>23233</v>
      </c>
      <c r="E31" s="480">
        <v>23233</v>
      </c>
      <c r="F31" s="480"/>
      <c r="G31" s="480"/>
      <c r="H31" s="480"/>
      <c r="I31" s="480"/>
      <c r="J31" s="480"/>
      <c r="K31" s="480"/>
      <c r="L31" s="480"/>
      <c r="M31" s="480"/>
      <c r="N31" s="480"/>
      <c r="O31" s="480"/>
      <c r="P31" s="480"/>
      <c r="Q31" s="480"/>
      <c r="R31" s="480"/>
      <c r="S31" s="480"/>
      <c r="T31" s="480"/>
      <c r="U31" s="480">
        <v>3000</v>
      </c>
    </row>
    <row r="32" spans="1:21" ht="36.75" customHeight="1">
      <c r="A32" s="477">
        <v>22</v>
      </c>
      <c r="B32" s="478" t="s">
        <v>232</v>
      </c>
      <c r="C32" s="479">
        <f t="shared" si="1"/>
        <v>8988</v>
      </c>
      <c r="D32" s="480">
        <f t="shared" si="3"/>
        <v>8988</v>
      </c>
      <c r="E32" s="480">
        <v>8988</v>
      </c>
      <c r="F32" s="480"/>
      <c r="G32" s="480"/>
      <c r="H32" s="480"/>
      <c r="I32" s="480"/>
      <c r="J32" s="480"/>
      <c r="K32" s="480"/>
      <c r="L32" s="480"/>
      <c r="M32" s="480"/>
      <c r="N32" s="480"/>
      <c r="O32" s="480"/>
      <c r="P32" s="480"/>
      <c r="Q32" s="480"/>
      <c r="R32" s="480"/>
      <c r="S32" s="480"/>
      <c r="T32" s="480"/>
      <c r="U32" s="480"/>
    </row>
    <row r="33" spans="1:21" ht="36.75" customHeight="1">
      <c r="A33" s="477">
        <v>23</v>
      </c>
      <c r="B33" s="478" t="s">
        <v>233</v>
      </c>
      <c r="C33" s="479">
        <f t="shared" si="1"/>
        <v>19520</v>
      </c>
      <c r="D33" s="480">
        <f t="shared" si="3"/>
        <v>16520</v>
      </c>
      <c r="E33" s="480">
        <v>16520</v>
      </c>
      <c r="F33" s="480"/>
      <c r="G33" s="480"/>
      <c r="H33" s="480"/>
      <c r="I33" s="480"/>
      <c r="J33" s="480"/>
      <c r="K33" s="480"/>
      <c r="L33" s="480"/>
      <c r="M33" s="480"/>
      <c r="N33" s="480"/>
      <c r="O33" s="480"/>
      <c r="P33" s="480"/>
      <c r="Q33" s="480"/>
      <c r="R33" s="480"/>
      <c r="S33" s="480"/>
      <c r="T33" s="480"/>
      <c r="U33" s="480">
        <v>3000</v>
      </c>
    </row>
    <row r="34" spans="1:21" ht="36.75" customHeight="1">
      <c r="A34" s="477">
        <v>24</v>
      </c>
      <c r="B34" s="478" t="s">
        <v>234</v>
      </c>
      <c r="C34" s="479">
        <f t="shared" si="1"/>
        <v>5766</v>
      </c>
      <c r="D34" s="480">
        <f t="shared" si="3"/>
        <v>5516</v>
      </c>
      <c r="E34" s="480"/>
      <c r="F34" s="480"/>
      <c r="G34" s="480"/>
      <c r="H34" s="480"/>
      <c r="I34" s="480"/>
      <c r="J34" s="480"/>
      <c r="K34" s="480"/>
      <c r="L34" s="480"/>
      <c r="M34" s="480"/>
      <c r="N34" s="480">
        <v>633</v>
      </c>
      <c r="O34" s="480"/>
      <c r="P34" s="480"/>
      <c r="Q34" s="480">
        <v>4883</v>
      </c>
      <c r="R34" s="480"/>
      <c r="S34" s="480"/>
      <c r="T34" s="480">
        <v>200</v>
      </c>
      <c r="U34" s="480">
        <v>50</v>
      </c>
    </row>
    <row r="35" spans="1:21" ht="36.75" customHeight="1">
      <c r="A35" s="477">
        <v>25</v>
      </c>
      <c r="B35" s="478" t="s">
        <v>235</v>
      </c>
      <c r="C35" s="479">
        <f t="shared" si="1"/>
        <v>7934</v>
      </c>
      <c r="D35" s="480">
        <f t="shared" si="3"/>
        <v>7834</v>
      </c>
      <c r="E35" s="480"/>
      <c r="F35" s="480"/>
      <c r="G35" s="480"/>
      <c r="H35" s="480"/>
      <c r="I35" s="480"/>
      <c r="J35" s="480">
        <v>1630</v>
      </c>
      <c r="K35" s="480"/>
      <c r="L35" s="480"/>
      <c r="M35" s="480"/>
      <c r="N35" s="480"/>
      <c r="O35" s="480"/>
      <c r="P35" s="480"/>
      <c r="Q35" s="480">
        <v>6204</v>
      </c>
      <c r="R35" s="480"/>
      <c r="S35" s="480"/>
      <c r="T35" s="480">
        <v>50</v>
      </c>
      <c r="U35" s="480">
        <v>50</v>
      </c>
    </row>
    <row r="36" spans="1:21" ht="36.75" customHeight="1">
      <c r="A36" s="477">
        <v>26</v>
      </c>
      <c r="B36" s="478" t="s">
        <v>236</v>
      </c>
      <c r="C36" s="479">
        <f t="shared" si="1"/>
        <v>33143</v>
      </c>
      <c r="D36" s="480">
        <f t="shared" si="3"/>
        <v>29343</v>
      </c>
      <c r="E36" s="480">
        <v>7251</v>
      </c>
      <c r="F36" s="480"/>
      <c r="G36" s="480"/>
      <c r="H36" s="480"/>
      <c r="I36" s="480"/>
      <c r="J36" s="480"/>
      <c r="K36" s="480"/>
      <c r="L36" s="480"/>
      <c r="M36" s="480"/>
      <c r="N36" s="480">
        <v>1446</v>
      </c>
      <c r="O36" s="480"/>
      <c r="P36" s="480"/>
      <c r="Q36" s="480">
        <v>20646</v>
      </c>
      <c r="R36" s="480"/>
      <c r="S36" s="480"/>
      <c r="T36" s="480">
        <v>1200</v>
      </c>
      <c r="U36" s="480">
        <v>2600</v>
      </c>
    </row>
    <row r="37" spans="1:27" ht="36.75" customHeight="1">
      <c r="A37" s="477">
        <v>27</v>
      </c>
      <c r="B37" s="478" t="s">
        <v>237</v>
      </c>
      <c r="C37" s="479">
        <f t="shared" si="1"/>
        <v>2731</v>
      </c>
      <c r="D37" s="480">
        <f t="shared" si="3"/>
        <v>2681</v>
      </c>
      <c r="E37" s="480"/>
      <c r="F37" s="480"/>
      <c r="G37" s="480"/>
      <c r="H37" s="480"/>
      <c r="I37" s="480"/>
      <c r="J37" s="480"/>
      <c r="K37" s="480"/>
      <c r="L37" s="480"/>
      <c r="M37" s="480"/>
      <c r="N37" s="480"/>
      <c r="O37" s="480"/>
      <c r="P37" s="480"/>
      <c r="Q37" s="480">
        <v>2681</v>
      </c>
      <c r="R37" s="480"/>
      <c r="S37" s="480"/>
      <c r="T37" s="480">
        <v>50</v>
      </c>
      <c r="U37" s="480"/>
      <c r="V37" s="482"/>
      <c r="W37" s="482"/>
      <c r="X37" s="482"/>
      <c r="Y37" s="482"/>
      <c r="Z37" s="482"/>
      <c r="AA37" s="482"/>
    </row>
    <row r="38" spans="1:21" ht="36.75" customHeight="1">
      <c r="A38" s="477">
        <v>28</v>
      </c>
      <c r="B38" s="478" t="s">
        <v>238</v>
      </c>
      <c r="C38" s="479">
        <f t="shared" si="1"/>
        <v>5444</v>
      </c>
      <c r="D38" s="480">
        <f t="shared" si="3"/>
        <v>5364</v>
      </c>
      <c r="E38" s="480"/>
      <c r="F38" s="480"/>
      <c r="G38" s="480"/>
      <c r="H38" s="480"/>
      <c r="I38" s="480"/>
      <c r="J38" s="480"/>
      <c r="K38" s="480"/>
      <c r="L38" s="480"/>
      <c r="M38" s="480"/>
      <c r="N38" s="480"/>
      <c r="O38" s="480"/>
      <c r="P38" s="480"/>
      <c r="Q38" s="480">
        <v>5364</v>
      </c>
      <c r="R38" s="480"/>
      <c r="S38" s="480"/>
      <c r="T38" s="480">
        <v>80</v>
      </c>
      <c r="U38" s="480"/>
    </row>
    <row r="39" spans="1:21" ht="36.75" customHeight="1">
      <c r="A39" s="477">
        <v>29</v>
      </c>
      <c r="B39" s="478" t="s">
        <v>239</v>
      </c>
      <c r="C39" s="479">
        <f t="shared" si="1"/>
        <v>5307</v>
      </c>
      <c r="D39" s="480">
        <f t="shared" si="3"/>
        <v>5057</v>
      </c>
      <c r="E39" s="480"/>
      <c r="F39" s="480"/>
      <c r="G39" s="480"/>
      <c r="H39" s="480"/>
      <c r="I39" s="480"/>
      <c r="J39" s="480"/>
      <c r="K39" s="480"/>
      <c r="L39" s="480"/>
      <c r="M39" s="480"/>
      <c r="N39" s="480"/>
      <c r="O39" s="480"/>
      <c r="P39" s="480"/>
      <c r="Q39" s="480">
        <v>5057</v>
      </c>
      <c r="R39" s="480"/>
      <c r="S39" s="480"/>
      <c r="T39" s="480">
        <v>200</v>
      </c>
      <c r="U39" s="480">
        <v>50</v>
      </c>
    </row>
    <row r="40" spans="1:21" ht="36.75" customHeight="1">
      <c r="A40" s="477">
        <v>30</v>
      </c>
      <c r="B40" s="478" t="s">
        <v>240</v>
      </c>
      <c r="C40" s="479">
        <f t="shared" si="1"/>
        <v>52010</v>
      </c>
      <c r="D40" s="480">
        <f t="shared" si="3"/>
        <v>52010</v>
      </c>
      <c r="E40" s="480">
        <v>4195</v>
      </c>
      <c r="F40" s="480"/>
      <c r="G40" s="480">
        <v>47815</v>
      </c>
      <c r="H40" s="480"/>
      <c r="I40" s="480"/>
      <c r="J40" s="480"/>
      <c r="K40" s="480"/>
      <c r="L40" s="480"/>
      <c r="M40" s="480"/>
      <c r="N40" s="480"/>
      <c r="O40" s="480"/>
      <c r="P40" s="480"/>
      <c r="Q40" s="480"/>
      <c r="R40" s="480"/>
      <c r="S40" s="480"/>
      <c r="T40" s="480"/>
      <c r="U40" s="480"/>
    </row>
    <row r="41" spans="1:21" ht="36.75" customHeight="1">
      <c r="A41" s="477">
        <v>31</v>
      </c>
      <c r="B41" s="478" t="s">
        <v>241</v>
      </c>
      <c r="C41" s="479">
        <f t="shared" si="1"/>
        <v>20405</v>
      </c>
      <c r="D41" s="480">
        <f t="shared" si="3"/>
        <v>20055</v>
      </c>
      <c r="E41" s="480"/>
      <c r="F41" s="480"/>
      <c r="G41" s="480">
        <v>20055</v>
      </c>
      <c r="H41" s="480"/>
      <c r="I41" s="480"/>
      <c r="J41" s="480"/>
      <c r="K41" s="480"/>
      <c r="L41" s="480"/>
      <c r="M41" s="480"/>
      <c r="N41" s="480"/>
      <c r="O41" s="480"/>
      <c r="P41" s="480"/>
      <c r="Q41" s="480"/>
      <c r="R41" s="480"/>
      <c r="S41" s="480"/>
      <c r="T41" s="480"/>
      <c r="U41" s="480">
        <v>350</v>
      </c>
    </row>
    <row r="42" spans="1:21" ht="36.75" customHeight="1">
      <c r="A42" s="477">
        <v>32</v>
      </c>
      <c r="B42" s="478" t="s">
        <v>242</v>
      </c>
      <c r="C42" s="479">
        <f t="shared" si="1"/>
        <v>12788</v>
      </c>
      <c r="D42" s="480">
        <f t="shared" si="3"/>
        <v>9100</v>
      </c>
      <c r="E42" s="480"/>
      <c r="F42" s="480"/>
      <c r="G42" s="480"/>
      <c r="H42" s="480">
        <v>9000</v>
      </c>
      <c r="I42" s="480"/>
      <c r="J42" s="480"/>
      <c r="K42" s="480"/>
      <c r="L42" s="480"/>
      <c r="M42" s="480">
        <v>100</v>
      </c>
      <c r="N42" s="480"/>
      <c r="O42" s="480"/>
      <c r="P42" s="480"/>
      <c r="Q42" s="480"/>
      <c r="R42" s="480"/>
      <c r="S42" s="480"/>
      <c r="T42" s="480"/>
      <c r="U42" s="480">
        <f>1430+2258</f>
        <v>3688</v>
      </c>
    </row>
    <row r="43" spans="1:21" ht="36.75" customHeight="1">
      <c r="A43" s="477">
        <v>33</v>
      </c>
      <c r="B43" s="478" t="s">
        <v>586</v>
      </c>
      <c r="C43" s="479">
        <f t="shared" si="1"/>
        <v>100</v>
      </c>
      <c r="D43" s="480">
        <f t="shared" si="3"/>
        <v>100</v>
      </c>
      <c r="E43" s="480"/>
      <c r="F43" s="480"/>
      <c r="G43" s="480"/>
      <c r="H43" s="480"/>
      <c r="I43" s="480"/>
      <c r="J43" s="480"/>
      <c r="K43" s="480"/>
      <c r="L43" s="480"/>
      <c r="M43" s="480"/>
      <c r="N43" s="480"/>
      <c r="O43" s="480"/>
      <c r="P43" s="480"/>
      <c r="Q43" s="480"/>
      <c r="R43" s="480"/>
      <c r="S43" s="480">
        <v>100</v>
      </c>
      <c r="T43" s="480"/>
      <c r="U43" s="480"/>
    </row>
    <row r="44" spans="1:21" ht="36.75" customHeight="1">
      <c r="A44" s="477">
        <v>34</v>
      </c>
      <c r="B44" s="478" t="s">
        <v>587</v>
      </c>
      <c r="C44" s="479">
        <f t="shared" si="1"/>
        <v>150</v>
      </c>
      <c r="D44" s="480">
        <f t="shared" si="3"/>
        <v>100</v>
      </c>
      <c r="E44" s="480"/>
      <c r="F44" s="480"/>
      <c r="G44" s="480"/>
      <c r="H44" s="480"/>
      <c r="I44" s="480"/>
      <c r="J44" s="480"/>
      <c r="K44" s="480"/>
      <c r="L44" s="480"/>
      <c r="M44" s="480"/>
      <c r="N44" s="480"/>
      <c r="O44" s="480"/>
      <c r="P44" s="480"/>
      <c r="Q44" s="480"/>
      <c r="R44" s="480"/>
      <c r="S44" s="480">
        <v>100</v>
      </c>
      <c r="T44" s="480"/>
      <c r="U44" s="480">
        <v>50</v>
      </c>
    </row>
    <row r="45" spans="1:21" ht="36.75" customHeight="1">
      <c r="A45" s="477">
        <v>35</v>
      </c>
      <c r="B45" s="478" t="s">
        <v>588</v>
      </c>
      <c r="C45" s="479">
        <f t="shared" si="1"/>
        <v>150</v>
      </c>
      <c r="D45" s="480">
        <f t="shared" si="3"/>
        <v>100</v>
      </c>
      <c r="E45" s="480"/>
      <c r="F45" s="480"/>
      <c r="G45" s="480"/>
      <c r="H45" s="480"/>
      <c r="I45" s="480"/>
      <c r="J45" s="480"/>
      <c r="K45" s="480"/>
      <c r="L45" s="480"/>
      <c r="M45" s="480"/>
      <c r="N45" s="480"/>
      <c r="O45" s="480"/>
      <c r="P45" s="480"/>
      <c r="Q45" s="480"/>
      <c r="R45" s="480"/>
      <c r="S45" s="480">
        <v>100</v>
      </c>
      <c r="T45" s="480"/>
      <c r="U45" s="480">
        <v>50</v>
      </c>
    </row>
    <row r="46" spans="1:21" ht="36.75" customHeight="1">
      <c r="A46" s="477">
        <v>36</v>
      </c>
      <c r="B46" s="478" t="s">
        <v>573</v>
      </c>
      <c r="C46" s="479">
        <f t="shared" si="1"/>
        <v>500</v>
      </c>
      <c r="D46" s="480">
        <f t="shared" si="3"/>
        <v>500</v>
      </c>
      <c r="E46" s="480"/>
      <c r="F46" s="480"/>
      <c r="G46" s="480"/>
      <c r="H46" s="480"/>
      <c r="I46" s="480"/>
      <c r="J46" s="480"/>
      <c r="K46" s="480"/>
      <c r="L46" s="480"/>
      <c r="M46" s="480"/>
      <c r="N46" s="480"/>
      <c r="O46" s="480"/>
      <c r="P46" s="480"/>
      <c r="Q46" s="480"/>
      <c r="R46" s="480"/>
      <c r="S46" s="480">
        <v>500</v>
      </c>
      <c r="T46" s="480"/>
      <c r="U46" s="480"/>
    </row>
    <row r="47" spans="1:21" ht="36.75" customHeight="1">
      <c r="A47" s="477">
        <v>37</v>
      </c>
      <c r="B47" s="478" t="s">
        <v>243</v>
      </c>
      <c r="C47" s="479">
        <f t="shared" si="1"/>
        <v>10788</v>
      </c>
      <c r="D47" s="480">
        <f t="shared" si="3"/>
        <v>10788</v>
      </c>
      <c r="E47" s="480"/>
      <c r="F47" s="480"/>
      <c r="G47" s="480"/>
      <c r="H47" s="480"/>
      <c r="I47" s="480"/>
      <c r="J47" s="480"/>
      <c r="K47" s="480"/>
      <c r="L47" s="480"/>
      <c r="M47" s="480"/>
      <c r="N47" s="480">
        <v>4151</v>
      </c>
      <c r="O47" s="480"/>
      <c r="P47" s="480"/>
      <c r="Q47" s="480">
        <v>6637</v>
      </c>
      <c r="R47" s="480"/>
      <c r="S47" s="480"/>
      <c r="T47" s="480"/>
      <c r="U47" s="480"/>
    </row>
    <row r="48" spans="1:21" ht="36.75" customHeight="1">
      <c r="A48" s="477">
        <v>38</v>
      </c>
      <c r="B48" s="478" t="s">
        <v>244</v>
      </c>
      <c r="C48" s="479">
        <f t="shared" si="1"/>
        <v>11922</v>
      </c>
      <c r="D48" s="480">
        <f t="shared" si="3"/>
        <v>8442</v>
      </c>
      <c r="E48" s="480"/>
      <c r="F48" s="480"/>
      <c r="G48" s="480"/>
      <c r="H48" s="480"/>
      <c r="I48" s="480"/>
      <c r="J48" s="480"/>
      <c r="K48" s="480"/>
      <c r="L48" s="480"/>
      <c r="M48" s="480"/>
      <c r="N48" s="480">
        <v>2276</v>
      </c>
      <c r="O48" s="480"/>
      <c r="P48" s="480"/>
      <c r="Q48" s="480">
        <v>6166</v>
      </c>
      <c r="R48" s="480"/>
      <c r="S48" s="480"/>
      <c r="T48" s="480">
        <v>2430</v>
      </c>
      <c r="U48" s="480">
        <v>1050</v>
      </c>
    </row>
    <row r="49" spans="1:21" ht="36.75" customHeight="1">
      <c r="A49" s="477">
        <v>39</v>
      </c>
      <c r="B49" s="478" t="s">
        <v>245</v>
      </c>
      <c r="C49" s="479">
        <f t="shared" si="1"/>
        <v>19266</v>
      </c>
      <c r="D49" s="480">
        <f t="shared" si="3"/>
        <v>19266</v>
      </c>
      <c r="E49" s="480"/>
      <c r="F49" s="480"/>
      <c r="G49" s="480"/>
      <c r="H49" s="480"/>
      <c r="I49" s="480"/>
      <c r="J49" s="480"/>
      <c r="K49" s="480"/>
      <c r="L49" s="480"/>
      <c r="M49" s="480"/>
      <c r="N49" s="480">
        <v>19266</v>
      </c>
      <c r="O49" s="480"/>
      <c r="P49" s="480"/>
      <c r="Q49" s="480"/>
      <c r="R49" s="480"/>
      <c r="S49" s="480"/>
      <c r="T49" s="480"/>
      <c r="U49" s="480"/>
    </row>
    <row r="50" spans="1:21" ht="36.75" customHeight="1">
      <c r="A50" s="477">
        <v>40</v>
      </c>
      <c r="B50" s="478" t="s">
        <v>246</v>
      </c>
      <c r="C50" s="479">
        <f t="shared" si="1"/>
        <v>93</v>
      </c>
      <c r="D50" s="480">
        <f t="shared" si="3"/>
        <v>93</v>
      </c>
      <c r="E50" s="480"/>
      <c r="F50" s="480"/>
      <c r="G50" s="480"/>
      <c r="H50" s="480"/>
      <c r="I50" s="480"/>
      <c r="J50" s="480"/>
      <c r="K50" s="480"/>
      <c r="L50" s="480"/>
      <c r="M50" s="480">
        <v>93</v>
      </c>
      <c r="N50" s="480"/>
      <c r="O50" s="480"/>
      <c r="P50" s="480"/>
      <c r="Q50" s="480"/>
      <c r="R50" s="480"/>
      <c r="S50" s="480"/>
      <c r="T50" s="480"/>
      <c r="U50" s="480"/>
    </row>
    <row r="51" spans="1:21" ht="36.75" customHeight="1">
      <c r="A51" s="477">
        <v>41</v>
      </c>
      <c r="B51" s="478" t="s">
        <v>247</v>
      </c>
      <c r="C51" s="479">
        <f t="shared" si="1"/>
        <v>650</v>
      </c>
      <c r="D51" s="480">
        <f t="shared" si="3"/>
        <v>650</v>
      </c>
      <c r="E51" s="480"/>
      <c r="F51" s="480"/>
      <c r="G51" s="480"/>
      <c r="H51" s="480"/>
      <c r="I51" s="480"/>
      <c r="J51" s="480"/>
      <c r="K51" s="480"/>
      <c r="L51" s="480"/>
      <c r="M51" s="480"/>
      <c r="N51" s="480">
        <v>650</v>
      </c>
      <c r="O51" s="480"/>
      <c r="P51" s="480"/>
      <c r="Q51" s="480"/>
      <c r="R51" s="480"/>
      <c r="S51" s="480"/>
      <c r="T51" s="480"/>
      <c r="U51" s="480"/>
    </row>
    <row r="52" spans="1:21" ht="36.75" customHeight="1">
      <c r="A52" s="477">
        <v>42</v>
      </c>
      <c r="B52" s="478" t="s">
        <v>589</v>
      </c>
      <c r="C52" s="479">
        <f t="shared" si="1"/>
        <v>43630</v>
      </c>
      <c r="D52" s="480">
        <f t="shared" si="3"/>
        <v>43630</v>
      </c>
      <c r="E52" s="480"/>
      <c r="F52" s="480"/>
      <c r="G52" s="480"/>
      <c r="H52" s="480"/>
      <c r="I52" s="480"/>
      <c r="J52" s="480"/>
      <c r="K52" s="480"/>
      <c r="L52" s="480"/>
      <c r="M52" s="480"/>
      <c r="N52" s="480">
        <f>O52</f>
        <v>43630</v>
      </c>
      <c r="O52" s="480">
        <f>37630+6000</f>
        <v>43630</v>
      </c>
      <c r="P52" s="480"/>
      <c r="Q52" s="480"/>
      <c r="R52" s="480"/>
      <c r="S52" s="480"/>
      <c r="T52" s="480"/>
      <c r="U52" s="480"/>
    </row>
    <row r="53" spans="1:21" ht="36.75" customHeight="1">
      <c r="A53" s="477">
        <v>43</v>
      </c>
      <c r="B53" s="478" t="s">
        <v>569</v>
      </c>
      <c r="C53" s="479">
        <f t="shared" si="1"/>
        <v>50</v>
      </c>
      <c r="D53" s="480">
        <f t="shared" si="3"/>
        <v>50</v>
      </c>
      <c r="E53" s="480"/>
      <c r="F53" s="480"/>
      <c r="G53" s="480"/>
      <c r="H53" s="480"/>
      <c r="I53" s="480"/>
      <c r="J53" s="480"/>
      <c r="K53" s="480"/>
      <c r="L53" s="480"/>
      <c r="M53" s="480"/>
      <c r="N53" s="480"/>
      <c r="O53" s="480"/>
      <c r="P53" s="480"/>
      <c r="Q53" s="480"/>
      <c r="R53" s="480"/>
      <c r="S53" s="480">
        <v>50</v>
      </c>
      <c r="T53" s="480"/>
      <c r="U53" s="480"/>
    </row>
    <row r="54" spans="1:21" ht="36.75" customHeight="1">
      <c r="A54" s="477">
        <v>44</v>
      </c>
      <c r="B54" s="478" t="s">
        <v>581</v>
      </c>
      <c r="C54" s="479">
        <f t="shared" si="1"/>
        <v>1300</v>
      </c>
      <c r="D54" s="480">
        <f t="shared" si="3"/>
        <v>0</v>
      </c>
      <c r="E54" s="480"/>
      <c r="F54" s="480"/>
      <c r="G54" s="480"/>
      <c r="H54" s="480"/>
      <c r="I54" s="480"/>
      <c r="J54" s="480"/>
      <c r="K54" s="480"/>
      <c r="L54" s="480"/>
      <c r="M54" s="480"/>
      <c r="N54" s="480"/>
      <c r="O54" s="480"/>
      <c r="P54" s="480"/>
      <c r="Q54" s="480"/>
      <c r="R54" s="480"/>
      <c r="S54" s="480"/>
      <c r="T54" s="480">
        <v>1300</v>
      </c>
      <c r="U54" s="480"/>
    </row>
    <row r="55" spans="1:21" ht="36.75" customHeight="1">
      <c r="A55" s="477">
        <v>45</v>
      </c>
      <c r="B55" s="478" t="s">
        <v>248</v>
      </c>
      <c r="C55" s="479">
        <f t="shared" si="1"/>
        <v>486</v>
      </c>
      <c r="D55" s="480">
        <f t="shared" si="3"/>
        <v>486</v>
      </c>
      <c r="E55" s="480"/>
      <c r="F55" s="480"/>
      <c r="G55" s="480"/>
      <c r="H55" s="480"/>
      <c r="I55" s="480"/>
      <c r="J55" s="480"/>
      <c r="K55" s="480"/>
      <c r="L55" s="480"/>
      <c r="M55" s="480"/>
      <c r="N55" s="480">
        <v>486</v>
      </c>
      <c r="O55" s="480"/>
      <c r="P55" s="480"/>
      <c r="Q55" s="480"/>
      <c r="R55" s="480"/>
      <c r="S55" s="480"/>
      <c r="T55" s="480"/>
      <c r="U55" s="480"/>
    </row>
    <row r="56" spans="1:21" ht="36.75" customHeight="1">
      <c r="A56" s="477">
        <v>46</v>
      </c>
      <c r="B56" s="483" t="s">
        <v>582</v>
      </c>
      <c r="C56" s="479">
        <f t="shared" si="1"/>
        <v>2000</v>
      </c>
      <c r="D56" s="480">
        <f t="shared" si="3"/>
        <v>2000</v>
      </c>
      <c r="E56" s="480"/>
      <c r="F56" s="480"/>
      <c r="G56" s="480"/>
      <c r="H56" s="480"/>
      <c r="I56" s="480"/>
      <c r="J56" s="480"/>
      <c r="K56" s="480"/>
      <c r="L56" s="480"/>
      <c r="M56" s="480"/>
      <c r="N56" s="480">
        <v>2000</v>
      </c>
      <c r="O56" s="480"/>
      <c r="P56" s="480"/>
      <c r="Q56" s="480"/>
      <c r="R56" s="480"/>
      <c r="S56" s="480"/>
      <c r="T56" s="480"/>
      <c r="U56" s="480"/>
    </row>
    <row r="57" spans="1:21" ht="36.75" customHeight="1">
      <c r="A57" s="477">
        <v>47</v>
      </c>
      <c r="B57" s="484" t="s">
        <v>570</v>
      </c>
      <c r="C57" s="479">
        <f t="shared" si="1"/>
        <v>348370</v>
      </c>
      <c r="D57" s="480">
        <f t="shared" si="3"/>
        <v>348370</v>
      </c>
      <c r="E57" s="480"/>
      <c r="F57" s="480"/>
      <c r="G57" s="480"/>
      <c r="H57" s="480"/>
      <c r="I57" s="480">
        <v>348370</v>
      </c>
      <c r="J57" s="480"/>
      <c r="K57" s="480"/>
      <c r="L57" s="480"/>
      <c r="M57" s="480"/>
      <c r="N57" s="480"/>
      <c r="O57" s="480"/>
      <c r="P57" s="480"/>
      <c r="Q57" s="480"/>
      <c r="R57" s="480"/>
      <c r="S57" s="480"/>
      <c r="T57" s="480"/>
      <c r="U57" s="480"/>
    </row>
    <row r="58" spans="1:21" ht="36.75" customHeight="1">
      <c r="A58" s="477">
        <v>48</v>
      </c>
      <c r="B58" s="484" t="s">
        <v>571</v>
      </c>
      <c r="C58" s="479">
        <f t="shared" si="1"/>
        <v>150</v>
      </c>
      <c r="D58" s="480">
        <f t="shared" si="3"/>
        <v>150</v>
      </c>
      <c r="E58" s="480"/>
      <c r="F58" s="480"/>
      <c r="G58" s="480"/>
      <c r="H58" s="480"/>
      <c r="I58" s="480"/>
      <c r="J58" s="480"/>
      <c r="K58" s="480"/>
      <c r="L58" s="480"/>
      <c r="M58" s="480"/>
      <c r="N58" s="480"/>
      <c r="O58" s="480"/>
      <c r="P58" s="480"/>
      <c r="Q58" s="480"/>
      <c r="R58" s="480"/>
      <c r="S58" s="480">
        <v>150</v>
      </c>
      <c r="T58" s="480"/>
      <c r="U58" s="480"/>
    </row>
    <row r="59" spans="1:21" s="476" customFormat="1" ht="36.75" customHeight="1">
      <c r="A59" s="473" t="s">
        <v>10</v>
      </c>
      <c r="B59" s="474" t="s">
        <v>572</v>
      </c>
      <c r="C59" s="475">
        <f t="shared" si="1"/>
        <v>13900</v>
      </c>
      <c r="D59" s="475">
        <f t="shared" si="3"/>
        <v>13320</v>
      </c>
      <c r="E59" s="475">
        <f>SUM(E60:E71)</f>
        <v>0</v>
      </c>
      <c r="F59" s="475">
        <f aca="true" t="shared" si="4" ref="F59:U59">SUM(F60:F71)</f>
        <v>0</v>
      </c>
      <c r="G59" s="475">
        <f t="shared" si="4"/>
        <v>0</v>
      </c>
      <c r="H59" s="475">
        <f t="shared" si="4"/>
        <v>0</v>
      </c>
      <c r="I59" s="475">
        <f t="shared" si="4"/>
        <v>0</v>
      </c>
      <c r="J59" s="475">
        <f t="shared" si="4"/>
        <v>0</v>
      </c>
      <c r="K59" s="475">
        <f t="shared" si="4"/>
        <v>0</v>
      </c>
      <c r="L59" s="475">
        <f t="shared" si="4"/>
        <v>0</v>
      </c>
      <c r="M59" s="475">
        <f t="shared" si="4"/>
        <v>0</v>
      </c>
      <c r="N59" s="475">
        <f t="shared" si="4"/>
        <v>500</v>
      </c>
      <c r="O59" s="475">
        <f t="shared" si="4"/>
        <v>0</v>
      </c>
      <c r="P59" s="475">
        <f t="shared" si="4"/>
        <v>0</v>
      </c>
      <c r="Q59" s="475">
        <f t="shared" si="4"/>
        <v>12820</v>
      </c>
      <c r="R59" s="475">
        <f t="shared" si="4"/>
        <v>0</v>
      </c>
      <c r="S59" s="475">
        <f t="shared" si="4"/>
        <v>0</v>
      </c>
      <c r="T59" s="475">
        <f t="shared" si="4"/>
        <v>0</v>
      </c>
      <c r="U59" s="475">
        <f t="shared" si="4"/>
        <v>580</v>
      </c>
    </row>
    <row r="60" spans="1:21" ht="36.75" customHeight="1">
      <c r="A60" s="477">
        <v>1</v>
      </c>
      <c r="B60" s="478" t="s">
        <v>249</v>
      </c>
      <c r="C60" s="479">
        <f t="shared" si="1"/>
        <v>2966</v>
      </c>
      <c r="D60" s="480">
        <f t="shared" si="3"/>
        <v>2966</v>
      </c>
      <c r="E60" s="480"/>
      <c r="F60" s="480"/>
      <c r="G60" s="480"/>
      <c r="H60" s="480"/>
      <c r="I60" s="480"/>
      <c r="J60" s="480"/>
      <c r="K60" s="480"/>
      <c r="L60" s="480"/>
      <c r="M60" s="480"/>
      <c r="N60" s="480"/>
      <c r="O60" s="480"/>
      <c r="P60" s="480"/>
      <c r="Q60" s="480">
        <v>2966</v>
      </c>
      <c r="R60" s="480"/>
      <c r="S60" s="480"/>
      <c r="T60" s="480"/>
      <c r="U60" s="480"/>
    </row>
    <row r="61" spans="1:21" ht="36.75" customHeight="1">
      <c r="A61" s="477">
        <v>2</v>
      </c>
      <c r="B61" s="478" t="s">
        <v>250</v>
      </c>
      <c r="C61" s="479">
        <f t="shared" si="1"/>
        <v>2436</v>
      </c>
      <c r="D61" s="480">
        <f t="shared" si="3"/>
        <v>1951</v>
      </c>
      <c r="E61" s="480"/>
      <c r="F61" s="480"/>
      <c r="G61" s="480"/>
      <c r="H61" s="480"/>
      <c r="I61" s="480"/>
      <c r="J61" s="480"/>
      <c r="K61" s="480"/>
      <c r="L61" s="480"/>
      <c r="M61" s="480"/>
      <c r="N61" s="480"/>
      <c r="O61" s="480"/>
      <c r="P61" s="480"/>
      <c r="Q61" s="480">
        <v>1951</v>
      </c>
      <c r="R61" s="480"/>
      <c r="S61" s="480"/>
      <c r="T61" s="480"/>
      <c r="U61" s="480">
        <v>485</v>
      </c>
    </row>
    <row r="62" spans="1:21" ht="36.75" customHeight="1">
      <c r="A62" s="477">
        <v>3</v>
      </c>
      <c r="B62" s="478" t="s">
        <v>251</v>
      </c>
      <c r="C62" s="479">
        <f t="shared" si="1"/>
        <v>436</v>
      </c>
      <c r="D62" s="480">
        <f t="shared" si="3"/>
        <v>436</v>
      </c>
      <c r="E62" s="480"/>
      <c r="F62" s="480"/>
      <c r="G62" s="480"/>
      <c r="H62" s="480"/>
      <c r="I62" s="480"/>
      <c r="J62" s="480"/>
      <c r="K62" s="480"/>
      <c r="L62" s="480"/>
      <c r="M62" s="480"/>
      <c r="N62" s="480"/>
      <c r="O62" s="480"/>
      <c r="P62" s="480"/>
      <c r="Q62" s="480">
        <v>436</v>
      </c>
      <c r="R62" s="480"/>
      <c r="S62" s="480"/>
      <c r="T62" s="480"/>
      <c r="U62" s="480"/>
    </row>
    <row r="63" spans="1:21" ht="36.75" customHeight="1">
      <c r="A63" s="477">
        <v>4</v>
      </c>
      <c r="B63" s="478" t="s">
        <v>252</v>
      </c>
      <c r="C63" s="479">
        <f t="shared" si="1"/>
        <v>405</v>
      </c>
      <c r="D63" s="480">
        <f t="shared" si="3"/>
        <v>405</v>
      </c>
      <c r="E63" s="480"/>
      <c r="F63" s="480"/>
      <c r="G63" s="480"/>
      <c r="H63" s="480"/>
      <c r="I63" s="480"/>
      <c r="J63" s="480"/>
      <c r="K63" s="480"/>
      <c r="L63" s="480"/>
      <c r="M63" s="480"/>
      <c r="N63" s="480"/>
      <c r="O63" s="480"/>
      <c r="P63" s="480"/>
      <c r="Q63" s="480">
        <v>405</v>
      </c>
      <c r="R63" s="480"/>
      <c r="S63" s="480"/>
      <c r="T63" s="480"/>
      <c r="U63" s="480"/>
    </row>
    <row r="64" spans="1:21" ht="36.75" customHeight="1">
      <c r="A64" s="477">
        <v>5</v>
      </c>
      <c r="B64" s="483" t="s">
        <v>253</v>
      </c>
      <c r="C64" s="479">
        <f t="shared" si="1"/>
        <v>1243</v>
      </c>
      <c r="D64" s="480">
        <f t="shared" si="3"/>
        <v>1243</v>
      </c>
      <c r="E64" s="480"/>
      <c r="F64" s="480"/>
      <c r="G64" s="480"/>
      <c r="H64" s="480"/>
      <c r="I64" s="480"/>
      <c r="J64" s="480"/>
      <c r="K64" s="480"/>
      <c r="L64" s="480"/>
      <c r="M64" s="480"/>
      <c r="N64" s="480"/>
      <c r="O64" s="480"/>
      <c r="P64" s="480"/>
      <c r="Q64" s="480">
        <v>1243</v>
      </c>
      <c r="R64" s="480"/>
      <c r="S64" s="480"/>
      <c r="T64" s="480"/>
      <c r="U64" s="480"/>
    </row>
    <row r="65" spans="1:21" ht="36.75" customHeight="1">
      <c r="A65" s="477">
        <v>6</v>
      </c>
      <c r="B65" s="478" t="s">
        <v>254</v>
      </c>
      <c r="C65" s="479">
        <f t="shared" si="1"/>
        <v>1127</v>
      </c>
      <c r="D65" s="480">
        <f t="shared" si="3"/>
        <v>1127</v>
      </c>
      <c r="E65" s="480"/>
      <c r="F65" s="480"/>
      <c r="G65" s="480"/>
      <c r="H65" s="480"/>
      <c r="I65" s="480"/>
      <c r="J65" s="480"/>
      <c r="K65" s="480"/>
      <c r="L65" s="480"/>
      <c r="M65" s="480"/>
      <c r="N65" s="480"/>
      <c r="O65" s="480"/>
      <c r="P65" s="480"/>
      <c r="Q65" s="480">
        <v>1127</v>
      </c>
      <c r="R65" s="480"/>
      <c r="S65" s="480"/>
      <c r="T65" s="480"/>
      <c r="U65" s="480"/>
    </row>
    <row r="66" spans="1:21" ht="36.75" customHeight="1">
      <c r="A66" s="477">
        <v>7</v>
      </c>
      <c r="B66" s="478" t="s">
        <v>255</v>
      </c>
      <c r="C66" s="479">
        <f t="shared" si="1"/>
        <v>257</v>
      </c>
      <c r="D66" s="480">
        <f t="shared" si="3"/>
        <v>257</v>
      </c>
      <c r="E66" s="480"/>
      <c r="F66" s="480"/>
      <c r="G66" s="480"/>
      <c r="H66" s="480"/>
      <c r="I66" s="480"/>
      <c r="J66" s="480"/>
      <c r="K66" s="480"/>
      <c r="L66" s="480"/>
      <c r="M66" s="480"/>
      <c r="N66" s="480"/>
      <c r="O66" s="480"/>
      <c r="P66" s="480"/>
      <c r="Q66" s="480">
        <v>257</v>
      </c>
      <c r="R66" s="480"/>
      <c r="S66" s="480"/>
      <c r="T66" s="480"/>
      <c r="U66" s="480"/>
    </row>
    <row r="67" spans="1:21" ht="36.75" customHeight="1">
      <c r="A67" s="477">
        <v>8</v>
      </c>
      <c r="B67" s="478" t="s">
        <v>256</v>
      </c>
      <c r="C67" s="479">
        <f t="shared" si="1"/>
        <v>1245</v>
      </c>
      <c r="D67" s="480">
        <f t="shared" si="3"/>
        <v>1150</v>
      </c>
      <c r="E67" s="480"/>
      <c r="F67" s="480"/>
      <c r="G67" s="480"/>
      <c r="H67" s="480"/>
      <c r="I67" s="480"/>
      <c r="J67" s="480"/>
      <c r="K67" s="480"/>
      <c r="L67" s="480"/>
      <c r="M67" s="480"/>
      <c r="N67" s="480"/>
      <c r="O67" s="480"/>
      <c r="P67" s="480"/>
      <c r="Q67" s="480">
        <v>1150</v>
      </c>
      <c r="R67" s="480"/>
      <c r="S67" s="480"/>
      <c r="T67" s="480"/>
      <c r="U67" s="480">
        <v>95</v>
      </c>
    </row>
    <row r="68" spans="1:21" ht="36.75" customHeight="1">
      <c r="A68" s="477">
        <v>9</v>
      </c>
      <c r="B68" s="478" t="s">
        <v>257</v>
      </c>
      <c r="C68" s="479">
        <f t="shared" si="1"/>
        <v>325</v>
      </c>
      <c r="D68" s="480">
        <f t="shared" si="3"/>
        <v>325</v>
      </c>
      <c r="E68" s="480"/>
      <c r="F68" s="480"/>
      <c r="G68" s="480"/>
      <c r="H68" s="480"/>
      <c r="I68" s="480"/>
      <c r="J68" s="480"/>
      <c r="K68" s="480"/>
      <c r="L68" s="480"/>
      <c r="M68" s="480"/>
      <c r="N68" s="480"/>
      <c r="O68" s="480"/>
      <c r="P68" s="480"/>
      <c r="Q68" s="480">
        <v>325</v>
      </c>
      <c r="R68" s="480"/>
      <c r="S68" s="480"/>
      <c r="T68" s="480"/>
      <c r="U68" s="480"/>
    </row>
    <row r="69" spans="1:21" ht="36.75" customHeight="1">
      <c r="A69" s="477">
        <v>10</v>
      </c>
      <c r="B69" s="478" t="s">
        <v>583</v>
      </c>
      <c r="C69" s="479">
        <f t="shared" si="1"/>
        <v>429</v>
      </c>
      <c r="D69" s="480">
        <f t="shared" si="3"/>
        <v>429</v>
      </c>
      <c r="E69" s="480"/>
      <c r="F69" s="480"/>
      <c r="G69" s="480"/>
      <c r="H69" s="480"/>
      <c r="I69" s="480"/>
      <c r="J69" s="480"/>
      <c r="K69" s="480"/>
      <c r="L69" s="480"/>
      <c r="M69" s="480"/>
      <c r="N69" s="480"/>
      <c r="O69" s="480"/>
      <c r="P69" s="480"/>
      <c r="Q69" s="480">
        <v>429</v>
      </c>
      <c r="R69" s="480"/>
      <c r="S69" s="480"/>
      <c r="T69" s="480"/>
      <c r="U69" s="480"/>
    </row>
    <row r="70" spans="1:21" ht="36.75" customHeight="1">
      <c r="A70" s="477">
        <v>11</v>
      </c>
      <c r="B70" s="478" t="s">
        <v>259</v>
      </c>
      <c r="C70" s="479">
        <f t="shared" si="1"/>
        <v>2646</v>
      </c>
      <c r="D70" s="480">
        <f t="shared" si="3"/>
        <v>2646</v>
      </c>
      <c r="E70" s="480"/>
      <c r="F70" s="480"/>
      <c r="G70" s="480"/>
      <c r="H70" s="480"/>
      <c r="I70" s="480"/>
      <c r="J70" s="480"/>
      <c r="K70" s="480"/>
      <c r="L70" s="480"/>
      <c r="M70" s="480"/>
      <c r="N70" s="480">
        <v>500</v>
      </c>
      <c r="O70" s="480"/>
      <c r="P70" s="480"/>
      <c r="Q70" s="480">
        <v>2146</v>
      </c>
      <c r="R70" s="480"/>
      <c r="S70" s="480"/>
      <c r="T70" s="480"/>
      <c r="U70" s="480"/>
    </row>
    <row r="71" spans="1:21" ht="36.75" customHeight="1">
      <c r="A71" s="477">
        <v>12</v>
      </c>
      <c r="B71" s="485" t="s">
        <v>260</v>
      </c>
      <c r="C71" s="479">
        <f t="shared" si="1"/>
        <v>385</v>
      </c>
      <c r="D71" s="480">
        <f t="shared" si="3"/>
        <v>385</v>
      </c>
      <c r="E71" s="486"/>
      <c r="F71" s="486"/>
      <c r="G71" s="486"/>
      <c r="H71" s="486"/>
      <c r="I71" s="486"/>
      <c r="J71" s="486"/>
      <c r="K71" s="486"/>
      <c r="L71" s="486"/>
      <c r="M71" s="486"/>
      <c r="N71" s="486"/>
      <c r="O71" s="486"/>
      <c r="P71" s="486"/>
      <c r="Q71" s="486">
        <v>385</v>
      </c>
      <c r="R71" s="486"/>
      <c r="S71" s="486"/>
      <c r="T71" s="486"/>
      <c r="U71" s="486"/>
    </row>
    <row r="72" spans="1:21" ht="28.5" customHeight="1">
      <c r="A72" s="487"/>
      <c r="B72" s="487"/>
      <c r="C72" s="488"/>
      <c r="D72" s="488"/>
      <c r="E72" s="488"/>
      <c r="F72" s="488"/>
      <c r="G72" s="488"/>
      <c r="H72" s="488"/>
      <c r="I72" s="488"/>
      <c r="J72" s="488"/>
      <c r="K72" s="488"/>
      <c r="L72" s="488"/>
      <c r="M72" s="488"/>
      <c r="N72" s="488"/>
      <c r="O72" s="488"/>
      <c r="P72" s="488"/>
      <c r="Q72" s="488"/>
      <c r="R72" s="488"/>
      <c r="S72" s="488"/>
      <c r="T72" s="488"/>
      <c r="U72" s="488"/>
    </row>
    <row r="75" ht="22.5" customHeight="1"/>
  </sheetData>
  <sheetProtection/>
  <mergeCells count="28">
    <mergeCell ref="C5:C7"/>
    <mergeCell ref="D5:S5"/>
    <mergeCell ref="T5:T7"/>
    <mergeCell ref="J6:J7"/>
    <mergeCell ref="K6:K7"/>
    <mergeCell ref="L6:L7"/>
    <mergeCell ref="G6:G7"/>
    <mergeCell ref="H6:H7"/>
    <mergeCell ref="I6:I7"/>
    <mergeCell ref="A1:B1"/>
    <mergeCell ref="O1:U1"/>
    <mergeCell ref="A2:U2"/>
    <mergeCell ref="A3:U3"/>
    <mergeCell ref="P4:U4"/>
    <mergeCell ref="A5:A7"/>
    <mergeCell ref="B5:B7"/>
    <mergeCell ref="D6:D7"/>
    <mergeCell ref="E6:E7"/>
    <mergeCell ref="F6:F7"/>
    <mergeCell ref="V9:W9"/>
    <mergeCell ref="V24:W24"/>
    <mergeCell ref="M6:M7"/>
    <mergeCell ref="N6:N7"/>
    <mergeCell ref="O6:P6"/>
    <mergeCell ref="Q6:Q7"/>
    <mergeCell ref="R6:R7"/>
    <mergeCell ref="S6:S7"/>
    <mergeCell ref="U5:U7"/>
  </mergeCells>
  <printOptions horizontalCentered="1"/>
  <pageMargins left="0.2" right="0.2" top="0.5" bottom="0.25" header="0.5" footer="0.25"/>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S36"/>
  <sheetViews>
    <sheetView zoomScale="85" zoomScaleNormal="85" zoomScalePageLayoutView="0" workbookViewId="0" topLeftCell="A1">
      <pane xSplit="2" ySplit="8" topLeftCell="G24" activePane="bottomRight" state="frozen"/>
      <selection pane="topLeft" activeCell="A1" sqref="A1"/>
      <selection pane="topRight" activeCell="C1" sqref="C1"/>
      <selection pane="bottomLeft" activeCell="A9" sqref="A9"/>
      <selection pane="bottomRight" activeCell="R35" sqref="R35"/>
    </sheetView>
  </sheetViews>
  <sheetFormatPr defaultColWidth="8.796875" defaultRowHeight="15"/>
  <cols>
    <col min="1" max="1" width="4.19921875" style="498" customWidth="1"/>
    <col min="2" max="2" width="31.3984375" style="498" customWidth="1"/>
    <col min="3" max="3" width="9.5" style="498" customWidth="1"/>
    <col min="4" max="4" width="8.59765625" style="498" customWidth="1"/>
    <col min="5" max="5" width="9.09765625" style="498" customWidth="1"/>
    <col min="6" max="6" width="8.8984375" style="498" customWidth="1"/>
    <col min="7" max="8" width="9.59765625" style="498" customWidth="1"/>
    <col min="9" max="9" width="7" style="498" customWidth="1"/>
    <col min="10" max="10" width="9" style="498" customWidth="1"/>
    <col min="11" max="11" width="8.59765625" style="498" customWidth="1"/>
    <col min="12" max="12" width="6.19921875" style="498" customWidth="1"/>
    <col min="13" max="13" width="10.09765625" style="498" customWidth="1"/>
    <col min="14" max="14" width="8.59765625" style="498" customWidth="1"/>
    <col min="15" max="15" width="9.19921875" style="498" customWidth="1"/>
    <col min="16" max="16" width="6.59765625" style="498" customWidth="1"/>
    <col min="17" max="17" width="8.3984375" style="498" customWidth="1"/>
    <col min="18" max="18" width="7.8984375" style="498" customWidth="1"/>
    <col min="19" max="19" width="7.09765625" style="498" customWidth="1"/>
    <col min="20" max="16384" width="9" style="498" customWidth="1"/>
  </cols>
  <sheetData>
    <row r="1" spans="11:19" ht="15.75">
      <c r="K1" s="652"/>
      <c r="L1" s="652"/>
      <c r="O1" s="652" t="s">
        <v>399</v>
      </c>
      <c r="P1" s="652"/>
      <c r="Q1" s="652"/>
      <c r="R1" s="652"/>
      <c r="S1" s="652"/>
    </row>
    <row r="2" spans="1:19" ht="15.75">
      <c r="A2" s="652" t="s">
        <v>565</v>
      </c>
      <c r="B2" s="652"/>
      <c r="C2" s="652"/>
      <c r="D2" s="652"/>
      <c r="E2" s="652"/>
      <c r="F2" s="652"/>
      <c r="G2" s="652"/>
      <c r="H2" s="652"/>
      <c r="I2" s="652"/>
      <c r="J2" s="652"/>
      <c r="K2" s="652"/>
      <c r="L2" s="652"/>
      <c r="M2" s="652"/>
      <c r="N2" s="652"/>
      <c r="O2" s="652"/>
      <c r="P2" s="652"/>
      <c r="Q2" s="652"/>
      <c r="R2" s="652"/>
      <c r="S2" s="652"/>
    </row>
    <row r="3" spans="1:19" s="499" customFormat="1" ht="15.75">
      <c r="A3" s="646" t="str">
        <f>'Biểu 15-NQ'!A4:G4</f>
        <v>(Kèm theo Nghị quyết số   96 /NQ-HĐND ngày  07  tháng 12 năm 2018 của HĐND tỉnh Điện Biên)</v>
      </c>
      <c r="B3" s="646"/>
      <c r="C3" s="646"/>
      <c r="D3" s="646"/>
      <c r="E3" s="646"/>
      <c r="F3" s="646"/>
      <c r="G3" s="646"/>
      <c r="H3" s="646"/>
      <c r="I3" s="646"/>
      <c r="J3" s="646"/>
      <c r="K3" s="646"/>
      <c r="L3" s="646"/>
      <c r="M3" s="646"/>
      <c r="N3" s="646"/>
      <c r="O3" s="646"/>
      <c r="P3" s="646"/>
      <c r="Q3" s="646"/>
      <c r="R3" s="646"/>
      <c r="S3" s="646"/>
    </row>
    <row r="4" spans="17:19" ht="15.75">
      <c r="Q4" s="653" t="s">
        <v>0</v>
      </c>
      <c r="R4" s="653"/>
      <c r="S4" s="653"/>
    </row>
    <row r="5" spans="1:19" s="500" customFormat="1" ht="15.75">
      <c r="A5" s="650" t="s">
        <v>70</v>
      </c>
      <c r="B5" s="650" t="s">
        <v>53</v>
      </c>
      <c r="C5" s="650" t="s">
        <v>54</v>
      </c>
      <c r="D5" s="647" t="s">
        <v>144</v>
      </c>
      <c r="E5" s="649"/>
      <c r="F5" s="647" t="s">
        <v>400</v>
      </c>
      <c r="G5" s="648"/>
      <c r="H5" s="648"/>
      <c r="I5" s="648"/>
      <c r="J5" s="648"/>
      <c r="K5" s="648"/>
      <c r="L5" s="649"/>
      <c r="M5" s="647" t="s">
        <v>401</v>
      </c>
      <c r="N5" s="648"/>
      <c r="O5" s="648"/>
      <c r="P5" s="648"/>
      <c r="Q5" s="648"/>
      <c r="R5" s="648"/>
      <c r="S5" s="649"/>
    </row>
    <row r="6" spans="1:19" s="500" customFormat="1" ht="15.75">
      <c r="A6" s="654"/>
      <c r="B6" s="654"/>
      <c r="C6" s="654"/>
      <c r="D6" s="650" t="s">
        <v>402</v>
      </c>
      <c r="E6" s="650" t="s">
        <v>403</v>
      </c>
      <c r="F6" s="650" t="s">
        <v>54</v>
      </c>
      <c r="G6" s="647" t="s">
        <v>402</v>
      </c>
      <c r="H6" s="648"/>
      <c r="I6" s="649"/>
      <c r="J6" s="647" t="s">
        <v>403</v>
      </c>
      <c r="K6" s="648"/>
      <c r="L6" s="649"/>
      <c r="M6" s="650" t="s">
        <v>54</v>
      </c>
      <c r="N6" s="647" t="s">
        <v>402</v>
      </c>
      <c r="O6" s="648"/>
      <c r="P6" s="649"/>
      <c r="Q6" s="647" t="s">
        <v>403</v>
      </c>
      <c r="R6" s="648"/>
      <c r="S6" s="649"/>
    </row>
    <row r="7" spans="1:19" s="500" customFormat="1" ht="63" customHeight="1">
      <c r="A7" s="651"/>
      <c r="B7" s="651"/>
      <c r="C7" s="651"/>
      <c r="D7" s="651"/>
      <c r="E7" s="651"/>
      <c r="F7" s="651"/>
      <c r="G7" s="501" t="s">
        <v>54</v>
      </c>
      <c r="H7" s="501" t="s">
        <v>397</v>
      </c>
      <c r="I7" s="501" t="s">
        <v>404</v>
      </c>
      <c r="J7" s="501" t="s">
        <v>54</v>
      </c>
      <c r="K7" s="501" t="s">
        <v>397</v>
      </c>
      <c r="L7" s="501" t="s">
        <v>404</v>
      </c>
      <c r="M7" s="651"/>
      <c r="N7" s="501" t="s">
        <v>54</v>
      </c>
      <c r="O7" s="501" t="s">
        <v>397</v>
      </c>
      <c r="P7" s="501" t="s">
        <v>404</v>
      </c>
      <c r="Q7" s="501" t="s">
        <v>54</v>
      </c>
      <c r="R7" s="501" t="s">
        <v>397</v>
      </c>
      <c r="S7" s="501" t="s">
        <v>404</v>
      </c>
    </row>
    <row r="8" spans="1:19" s="503" customFormat="1" ht="15.75">
      <c r="A8" s="502" t="s">
        <v>3</v>
      </c>
      <c r="B8" s="502" t="s">
        <v>12</v>
      </c>
      <c r="C8" s="502" t="s">
        <v>349</v>
      </c>
      <c r="D8" s="502" t="s">
        <v>405</v>
      </c>
      <c r="E8" s="502" t="s">
        <v>406</v>
      </c>
      <c r="F8" s="502" t="s">
        <v>407</v>
      </c>
      <c r="G8" s="502" t="s">
        <v>408</v>
      </c>
      <c r="H8" s="502">
        <v>6</v>
      </c>
      <c r="I8" s="502">
        <v>7</v>
      </c>
      <c r="J8" s="502" t="s">
        <v>409</v>
      </c>
      <c r="K8" s="502">
        <v>9</v>
      </c>
      <c r="L8" s="502">
        <v>10</v>
      </c>
      <c r="M8" s="502" t="s">
        <v>410</v>
      </c>
      <c r="N8" s="502" t="s">
        <v>411</v>
      </c>
      <c r="O8" s="502">
        <v>13</v>
      </c>
      <c r="P8" s="502">
        <v>14</v>
      </c>
      <c r="Q8" s="502" t="s">
        <v>412</v>
      </c>
      <c r="R8" s="502">
        <v>16</v>
      </c>
      <c r="S8" s="502">
        <v>17</v>
      </c>
    </row>
    <row r="9" spans="1:19" ht="29.25" customHeight="1">
      <c r="A9" s="504"/>
      <c r="B9" s="505" t="s">
        <v>2</v>
      </c>
      <c r="C9" s="506">
        <f aca="true" t="shared" si="0" ref="C9:P9">C10+C25+C36</f>
        <v>906008</v>
      </c>
      <c r="D9" s="506">
        <f t="shared" si="0"/>
        <v>712773</v>
      </c>
      <c r="E9" s="506">
        <f t="shared" si="0"/>
        <v>193235</v>
      </c>
      <c r="F9" s="506">
        <f t="shared" si="0"/>
        <v>590058</v>
      </c>
      <c r="G9" s="506">
        <f t="shared" si="0"/>
        <v>473123</v>
      </c>
      <c r="H9" s="506">
        <f t="shared" si="0"/>
        <v>473123</v>
      </c>
      <c r="I9" s="506">
        <f t="shared" si="0"/>
        <v>0</v>
      </c>
      <c r="J9" s="506">
        <f t="shared" si="0"/>
        <v>116935</v>
      </c>
      <c r="K9" s="506">
        <f t="shared" si="0"/>
        <v>116935</v>
      </c>
      <c r="L9" s="506">
        <f t="shared" si="0"/>
        <v>0</v>
      </c>
      <c r="M9" s="506">
        <f t="shared" si="0"/>
        <v>305950</v>
      </c>
      <c r="N9" s="506">
        <f t="shared" si="0"/>
        <v>239650</v>
      </c>
      <c r="O9" s="506">
        <f t="shared" si="0"/>
        <v>239650</v>
      </c>
      <c r="P9" s="506">
        <f t="shared" si="0"/>
        <v>0</v>
      </c>
      <c r="Q9" s="506">
        <f>Q10+Q25+Q36</f>
        <v>76300</v>
      </c>
      <c r="R9" s="506">
        <f>R10+R25+R36</f>
        <v>76300</v>
      </c>
      <c r="S9" s="506">
        <f>S10+S25+S36</f>
        <v>0</v>
      </c>
    </row>
    <row r="10" spans="1:19" s="510" customFormat="1" ht="15.75">
      <c r="A10" s="507" t="s">
        <v>4</v>
      </c>
      <c r="B10" s="508" t="s">
        <v>370</v>
      </c>
      <c r="C10" s="509">
        <f aca="true" t="shared" si="1" ref="C10:Q10">SUM(C11:C24)</f>
        <v>15950</v>
      </c>
      <c r="D10" s="509">
        <f t="shared" si="1"/>
        <v>0</v>
      </c>
      <c r="E10" s="509">
        <f t="shared" si="1"/>
        <v>15950</v>
      </c>
      <c r="F10" s="509">
        <f t="shared" si="1"/>
        <v>7490</v>
      </c>
      <c r="G10" s="509">
        <f t="shared" si="1"/>
        <v>0</v>
      </c>
      <c r="H10" s="509">
        <f t="shared" si="1"/>
        <v>0</v>
      </c>
      <c r="I10" s="509">
        <f t="shared" si="1"/>
        <v>0</v>
      </c>
      <c r="J10" s="509">
        <f t="shared" si="1"/>
        <v>7490</v>
      </c>
      <c r="K10" s="509">
        <f t="shared" si="1"/>
        <v>7490</v>
      </c>
      <c r="L10" s="509">
        <f t="shared" si="1"/>
        <v>0</v>
      </c>
      <c r="M10" s="509">
        <f t="shared" si="1"/>
        <v>8460</v>
      </c>
      <c r="N10" s="509">
        <f t="shared" si="1"/>
        <v>0</v>
      </c>
      <c r="O10" s="509">
        <f t="shared" si="1"/>
        <v>0</v>
      </c>
      <c r="P10" s="509">
        <f t="shared" si="1"/>
        <v>0</v>
      </c>
      <c r="Q10" s="509">
        <f t="shared" si="1"/>
        <v>8460</v>
      </c>
      <c r="R10" s="509">
        <f>SUM(R11:R24)</f>
        <v>8460</v>
      </c>
      <c r="S10" s="509">
        <f>SUM(S11:S22)</f>
        <v>0</v>
      </c>
    </row>
    <row r="11" spans="1:19" ht="15.75">
      <c r="A11" s="511">
        <v>1</v>
      </c>
      <c r="B11" s="512" t="s">
        <v>413</v>
      </c>
      <c r="C11" s="513">
        <f>D11+E11</f>
        <v>684</v>
      </c>
      <c r="D11" s="513">
        <f>G11+N11</f>
        <v>0</v>
      </c>
      <c r="E11" s="513">
        <f>J11+Q11</f>
        <v>684</v>
      </c>
      <c r="F11" s="513">
        <f>G11+J11</f>
        <v>684</v>
      </c>
      <c r="G11" s="513">
        <f>H11+I11</f>
        <v>0</v>
      </c>
      <c r="H11" s="513"/>
      <c r="I11" s="513"/>
      <c r="J11" s="513">
        <f>K11+L11</f>
        <v>684</v>
      </c>
      <c r="K11" s="513">
        <v>684</v>
      </c>
      <c r="L11" s="513"/>
      <c r="M11" s="513">
        <f>N11+Q11</f>
        <v>0</v>
      </c>
      <c r="N11" s="513">
        <f>O11+P11</f>
        <v>0</v>
      </c>
      <c r="O11" s="513"/>
      <c r="P11" s="513"/>
      <c r="Q11" s="513">
        <f>R11+S11</f>
        <v>0</v>
      </c>
      <c r="R11" s="513"/>
      <c r="S11" s="513"/>
    </row>
    <row r="12" spans="1:19" ht="31.5">
      <c r="A12" s="511">
        <v>2</v>
      </c>
      <c r="B12" s="512" t="s">
        <v>414</v>
      </c>
      <c r="C12" s="513">
        <f>D12+E12</f>
        <v>1945</v>
      </c>
      <c r="D12" s="513">
        <f>G12+N12</f>
        <v>0</v>
      </c>
      <c r="E12" s="513">
        <f>J12+Q12</f>
        <v>1945</v>
      </c>
      <c r="F12" s="513">
        <f>G12+J12</f>
        <v>45</v>
      </c>
      <c r="G12" s="513">
        <f>H12+I12</f>
        <v>0</v>
      </c>
      <c r="H12" s="513"/>
      <c r="I12" s="513"/>
      <c r="J12" s="513">
        <f>K12+L12</f>
        <v>45</v>
      </c>
      <c r="K12" s="513">
        <v>45</v>
      </c>
      <c r="L12" s="513"/>
      <c r="M12" s="513">
        <f>N12+Q12</f>
        <v>1900</v>
      </c>
      <c r="N12" s="513">
        <f>O12+P12</f>
        <v>0</v>
      </c>
      <c r="O12" s="513"/>
      <c r="P12" s="513"/>
      <c r="Q12" s="513">
        <f>R12+S12</f>
        <v>1900</v>
      </c>
      <c r="R12" s="447">
        <f>3500-300-1300</f>
        <v>1900</v>
      </c>
      <c r="S12" s="513"/>
    </row>
    <row r="13" spans="1:19" ht="31.5">
      <c r="A13" s="511">
        <v>3</v>
      </c>
      <c r="B13" s="512" t="s">
        <v>581</v>
      </c>
      <c r="C13" s="513">
        <f>D13+E13</f>
        <v>1300</v>
      </c>
      <c r="D13" s="513"/>
      <c r="E13" s="513">
        <f>J13+Q13</f>
        <v>1300</v>
      </c>
      <c r="F13" s="513"/>
      <c r="G13" s="513"/>
      <c r="H13" s="513"/>
      <c r="I13" s="513"/>
      <c r="J13" s="513"/>
      <c r="K13" s="513"/>
      <c r="L13" s="513"/>
      <c r="M13" s="513">
        <f>N13+Q13</f>
        <v>1300</v>
      </c>
      <c r="N13" s="513">
        <f>O13+P13</f>
        <v>0</v>
      </c>
      <c r="O13" s="513"/>
      <c r="P13" s="513"/>
      <c r="Q13" s="513">
        <f>R13+S13</f>
        <v>1300</v>
      </c>
      <c r="R13" s="447">
        <v>1300</v>
      </c>
      <c r="S13" s="513"/>
    </row>
    <row r="14" spans="1:19" ht="15.75">
      <c r="A14" s="511">
        <v>4</v>
      </c>
      <c r="B14" s="512" t="s">
        <v>415</v>
      </c>
      <c r="C14" s="513">
        <f>D14+E14</f>
        <v>4631</v>
      </c>
      <c r="D14" s="513">
        <f>G14+N14</f>
        <v>0</v>
      </c>
      <c r="E14" s="513">
        <f>J14+Q14</f>
        <v>4631</v>
      </c>
      <c r="F14" s="513">
        <f>G14+J14</f>
        <v>4631</v>
      </c>
      <c r="G14" s="513">
        <f>H14+I14</f>
        <v>0</v>
      </c>
      <c r="H14" s="513"/>
      <c r="I14" s="513"/>
      <c r="J14" s="513">
        <f>K14+L14</f>
        <v>4631</v>
      </c>
      <c r="K14" s="513">
        <v>4631</v>
      </c>
      <c r="L14" s="513"/>
      <c r="M14" s="513">
        <f>N14+Q14</f>
        <v>0</v>
      </c>
      <c r="N14" s="513">
        <f>O14+P14</f>
        <v>0</v>
      </c>
      <c r="O14" s="513"/>
      <c r="P14" s="513"/>
      <c r="Q14" s="513">
        <f>R14+S14</f>
        <v>0</v>
      </c>
      <c r="R14" s="513"/>
      <c r="S14" s="513"/>
    </row>
    <row r="15" spans="1:19" ht="15.75">
      <c r="A15" s="511">
        <v>5</v>
      </c>
      <c r="B15" s="512" t="s">
        <v>416</v>
      </c>
      <c r="C15" s="513">
        <f>D15+E15</f>
        <v>2430</v>
      </c>
      <c r="D15" s="513">
        <f>G15+N15</f>
        <v>0</v>
      </c>
      <c r="E15" s="513">
        <f>J15+Q15</f>
        <v>2430</v>
      </c>
      <c r="F15" s="513">
        <f>G15+J15</f>
        <v>2130</v>
      </c>
      <c r="G15" s="513">
        <f>H15+I15</f>
        <v>0</v>
      </c>
      <c r="H15" s="513"/>
      <c r="I15" s="513"/>
      <c r="J15" s="513">
        <f>K15+L15</f>
        <v>2130</v>
      </c>
      <c r="K15" s="513">
        <v>2130</v>
      </c>
      <c r="L15" s="513"/>
      <c r="M15" s="513">
        <f>N15+Q15</f>
        <v>300</v>
      </c>
      <c r="N15" s="513">
        <f>O15+P15</f>
        <v>0</v>
      </c>
      <c r="O15" s="513"/>
      <c r="P15" s="513"/>
      <c r="Q15" s="513">
        <f>R15+S15</f>
        <v>300</v>
      </c>
      <c r="R15" s="513">
        <v>300</v>
      </c>
      <c r="S15" s="513"/>
    </row>
    <row r="16" spans="1:19" ht="15.75">
      <c r="A16" s="511">
        <v>6</v>
      </c>
      <c r="B16" s="512" t="s">
        <v>417</v>
      </c>
      <c r="C16" s="513">
        <f aca="true" t="shared" si="2" ref="C16:C24">D16+E16</f>
        <v>3000</v>
      </c>
      <c r="D16" s="513">
        <f aca="true" t="shared" si="3" ref="D16:D22">G16+N16</f>
        <v>0</v>
      </c>
      <c r="E16" s="513">
        <f aca="true" t="shared" si="4" ref="E16:E22">J16+Q16</f>
        <v>3000</v>
      </c>
      <c r="F16" s="513">
        <f aca="true" t="shared" si="5" ref="F16:F22">G16+J16</f>
        <v>0</v>
      </c>
      <c r="G16" s="513">
        <f aca="true" t="shared" si="6" ref="G16:G22">H16+I16</f>
        <v>0</v>
      </c>
      <c r="H16" s="513"/>
      <c r="I16" s="513"/>
      <c r="J16" s="513">
        <f aca="true" t="shared" si="7" ref="J16:J22">K16+L16</f>
        <v>0</v>
      </c>
      <c r="K16" s="513"/>
      <c r="L16" s="513"/>
      <c r="M16" s="513">
        <f aca="true" t="shared" si="8" ref="M16:M24">N16+Q16</f>
        <v>3000</v>
      </c>
      <c r="N16" s="513">
        <f aca="true" t="shared" si="9" ref="N16:N22">O16+P16</f>
        <v>0</v>
      </c>
      <c r="O16" s="513"/>
      <c r="P16" s="513"/>
      <c r="Q16" s="513">
        <f aca="true" t="shared" si="10" ref="Q16:Q24">R16+S16</f>
        <v>3000</v>
      </c>
      <c r="R16" s="513">
        <v>3000</v>
      </c>
      <c r="S16" s="513"/>
    </row>
    <row r="17" spans="1:19" ht="15.75">
      <c r="A17" s="511">
        <v>7</v>
      </c>
      <c r="B17" s="512" t="s">
        <v>236</v>
      </c>
      <c r="C17" s="513">
        <f t="shared" si="2"/>
        <v>1200</v>
      </c>
      <c r="D17" s="513">
        <f t="shared" si="3"/>
        <v>0</v>
      </c>
      <c r="E17" s="513">
        <f t="shared" si="4"/>
        <v>1200</v>
      </c>
      <c r="F17" s="513">
        <f t="shared" si="5"/>
        <v>0</v>
      </c>
      <c r="G17" s="513">
        <f t="shared" si="6"/>
        <v>0</v>
      </c>
      <c r="H17" s="513"/>
      <c r="I17" s="513"/>
      <c r="J17" s="513">
        <f t="shared" si="7"/>
        <v>0</v>
      </c>
      <c r="K17" s="513"/>
      <c r="L17" s="513"/>
      <c r="M17" s="513">
        <f t="shared" si="8"/>
        <v>1200</v>
      </c>
      <c r="N17" s="513">
        <f t="shared" si="9"/>
        <v>0</v>
      </c>
      <c r="O17" s="513"/>
      <c r="P17" s="513"/>
      <c r="Q17" s="513">
        <f t="shared" si="10"/>
        <v>1200</v>
      </c>
      <c r="R17" s="447">
        <f>900+300</f>
        <v>1200</v>
      </c>
      <c r="S17" s="513"/>
    </row>
    <row r="18" spans="1:19" ht="15.75">
      <c r="A18" s="511">
        <v>8</v>
      </c>
      <c r="B18" s="512" t="s">
        <v>227</v>
      </c>
      <c r="C18" s="513">
        <f t="shared" si="2"/>
        <v>80</v>
      </c>
      <c r="D18" s="513">
        <f t="shared" si="3"/>
        <v>0</v>
      </c>
      <c r="E18" s="513">
        <f t="shared" si="4"/>
        <v>80</v>
      </c>
      <c r="F18" s="513">
        <f t="shared" si="5"/>
        <v>0</v>
      </c>
      <c r="G18" s="513">
        <f t="shared" si="6"/>
        <v>0</v>
      </c>
      <c r="H18" s="513"/>
      <c r="I18" s="513"/>
      <c r="J18" s="513">
        <f t="shared" si="7"/>
        <v>0</v>
      </c>
      <c r="K18" s="513"/>
      <c r="L18" s="513"/>
      <c r="M18" s="513">
        <f t="shared" si="8"/>
        <v>80</v>
      </c>
      <c r="N18" s="513">
        <f t="shared" si="9"/>
        <v>0</v>
      </c>
      <c r="O18" s="513"/>
      <c r="P18" s="513"/>
      <c r="Q18" s="513">
        <f t="shared" si="10"/>
        <v>80</v>
      </c>
      <c r="R18" s="513">
        <v>80</v>
      </c>
      <c r="S18" s="513"/>
    </row>
    <row r="19" spans="1:19" ht="15.75">
      <c r="A19" s="511">
        <v>9</v>
      </c>
      <c r="B19" s="512" t="s">
        <v>559</v>
      </c>
      <c r="C19" s="513">
        <f t="shared" si="2"/>
        <v>100</v>
      </c>
      <c r="D19" s="513">
        <f>G19+N19</f>
        <v>0</v>
      </c>
      <c r="E19" s="513">
        <f>J19+Q19</f>
        <v>100</v>
      </c>
      <c r="F19" s="513"/>
      <c r="G19" s="513"/>
      <c r="H19" s="513"/>
      <c r="I19" s="513"/>
      <c r="J19" s="513"/>
      <c r="K19" s="513"/>
      <c r="L19" s="513"/>
      <c r="M19" s="513">
        <f t="shared" si="8"/>
        <v>100</v>
      </c>
      <c r="N19" s="513"/>
      <c r="O19" s="513"/>
      <c r="P19" s="513"/>
      <c r="Q19" s="513">
        <f t="shared" si="10"/>
        <v>100</v>
      </c>
      <c r="R19" s="513">
        <v>100</v>
      </c>
      <c r="S19" s="513"/>
    </row>
    <row r="20" spans="1:19" ht="15.75">
      <c r="A20" s="511">
        <v>10</v>
      </c>
      <c r="B20" s="512" t="s">
        <v>418</v>
      </c>
      <c r="C20" s="513">
        <f t="shared" si="2"/>
        <v>80</v>
      </c>
      <c r="D20" s="513">
        <f t="shared" si="3"/>
        <v>0</v>
      </c>
      <c r="E20" s="513">
        <f t="shared" si="4"/>
        <v>80</v>
      </c>
      <c r="F20" s="513">
        <f t="shared" si="5"/>
        <v>0</v>
      </c>
      <c r="G20" s="513">
        <f t="shared" si="6"/>
        <v>0</v>
      </c>
      <c r="H20" s="513"/>
      <c r="I20" s="513"/>
      <c r="J20" s="513">
        <f t="shared" si="7"/>
        <v>0</v>
      </c>
      <c r="K20" s="513"/>
      <c r="L20" s="513"/>
      <c r="M20" s="513">
        <f t="shared" si="8"/>
        <v>80</v>
      </c>
      <c r="N20" s="513">
        <f t="shared" si="9"/>
        <v>0</v>
      </c>
      <c r="O20" s="513"/>
      <c r="P20" s="513"/>
      <c r="Q20" s="513">
        <f t="shared" si="10"/>
        <v>80</v>
      </c>
      <c r="R20" s="513">
        <v>80</v>
      </c>
      <c r="S20" s="513"/>
    </row>
    <row r="21" spans="1:19" ht="15.75">
      <c r="A21" s="511">
        <v>11</v>
      </c>
      <c r="B21" s="512" t="s">
        <v>419</v>
      </c>
      <c r="C21" s="513">
        <f t="shared" si="2"/>
        <v>200</v>
      </c>
      <c r="D21" s="513">
        <f t="shared" si="3"/>
        <v>0</v>
      </c>
      <c r="E21" s="513">
        <f t="shared" si="4"/>
        <v>200</v>
      </c>
      <c r="F21" s="513">
        <f t="shared" si="5"/>
        <v>0</v>
      </c>
      <c r="G21" s="513">
        <f t="shared" si="6"/>
        <v>0</v>
      </c>
      <c r="H21" s="513"/>
      <c r="I21" s="513"/>
      <c r="J21" s="513">
        <f t="shared" si="7"/>
        <v>0</v>
      </c>
      <c r="K21" s="513"/>
      <c r="L21" s="513"/>
      <c r="M21" s="513">
        <f t="shared" si="8"/>
        <v>200</v>
      </c>
      <c r="N21" s="513">
        <f t="shared" si="9"/>
        <v>0</v>
      </c>
      <c r="O21" s="513"/>
      <c r="P21" s="513"/>
      <c r="Q21" s="513">
        <f t="shared" si="10"/>
        <v>200</v>
      </c>
      <c r="R21" s="513">
        <v>200</v>
      </c>
      <c r="S21" s="513"/>
    </row>
    <row r="22" spans="1:19" s="510" customFormat="1" ht="15.75">
      <c r="A22" s="511">
        <v>12</v>
      </c>
      <c r="B22" s="512" t="s">
        <v>420</v>
      </c>
      <c r="C22" s="513">
        <f t="shared" si="2"/>
        <v>200</v>
      </c>
      <c r="D22" s="513">
        <f t="shared" si="3"/>
        <v>0</v>
      </c>
      <c r="E22" s="513">
        <f t="shared" si="4"/>
        <v>200</v>
      </c>
      <c r="F22" s="513">
        <f t="shared" si="5"/>
        <v>0</v>
      </c>
      <c r="G22" s="513">
        <f t="shared" si="6"/>
        <v>0</v>
      </c>
      <c r="H22" s="513"/>
      <c r="I22" s="513"/>
      <c r="J22" s="513">
        <f t="shared" si="7"/>
        <v>0</v>
      </c>
      <c r="K22" s="513"/>
      <c r="L22" s="513"/>
      <c r="M22" s="513">
        <f t="shared" si="8"/>
        <v>200</v>
      </c>
      <c r="N22" s="513">
        <f t="shared" si="9"/>
        <v>0</v>
      </c>
      <c r="O22" s="513"/>
      <c r="P22" s="513"/>
      <c r="Q22" s="513">
        <f t="shared" si="10"/>
        <v>200</v>
      </c>
      <c r="R22" s="513">
        <v>200</v>
      </c>
      <c r="S22" s="513"/>
    </row>
    <row r="23" spans="1:19" ht="15.75">
      <c r="A23" s="511">
        <v>13</v>
      </c>
      <c r="B23" s="512" t="s">
        <v>235</v>
      </c>
      <c r="C23" s="513">
        <f t="shared" si="2"/>
        <v>50</v>
      </c>
      <c r="D23" s="513">
        <f>G23+N23</f>
        <v>0</v>
      </c>
      <c r="E23" s="513">
        <f>J23+Q23</f>
        <v>50</v>
      </c>
      <c r="F23" s="513"/>
      <c r="G23" s="513"/>
      <c r="H23" s="513"/>
      <c r="I23" s="513"/>
      <c r="J23" s="513"/>
      <c r="K23" s="513"/>
      <c r="L23" s="513"/>
      <c r="M23" s="513">
        <f t="shared" si="8"/>
        <v>50</v>
      </c>
      <c r="N23" s="513"/>
      <c r="O23" s="513"/>
      <c r="P23" s="513"/>
      <c r="Q23" s="513">
        <f t="shared" si="10"/>
        <v>50</v>
      </c>
      <c r="R23" s="513">
        <v>50</v>
      </c>
      <c r="S23" s="513"/>
    </row>
    <row r="24" spans="1:19" ht="15.75">
      <c r="A24" s="511">
        <v>14</v>
      </c>
      <c r="B24" s="512" t="s">
        <v>560</v>
      </c>
      <c r="C24" s="513">
        <f t="shared" si="2"/>
        <v>50</v>
      </c>
      <c r="D24" s="513">
        <f>G24+N24</f>
        <v>0</v>
      </c>
      <c r="E24" s="513">
        <f>J24+Q24</f>
        <v>50</v>
      </c>
      <c r="F24" s="513"/>
      <c r="G24" s="513"/>
      <c r="H24" s="513"/>
      <c r="I24" s="513"/>
      <c r="J24" s="513"/>
      <c r="K24" s="513"/>
      <c r="L24" s="513"/>
      <c r="M24" s="513">
        <f t="shared" si="8"/>
        <v>50</v>
      </c>
      <c r="N24" s="513"/>
      <c r="O24" s="513"/>
      <c r="P24" s="513"/>
      <c r="Q24" s="513">
        <f t="shared" si="10"/>
        <v>50</v>
      </c>
      <c r="R24" s="513">
        <v>50</v>
      </c>
      <c r="S24" s="513"/>
    </row>
    <row r="25" spans="1:19" ht="15.75">
      <c r="A25" s="508" t="s">
        <v>10</v>
      </c>
      <c r="B25" s="508" t="s">
        <v>421</v>
      </c>
      <c r="C25" s="509">
        <f>SUM(C26:C35)</f>
        <v>880058</v>
      </c>
      <c r="D25" s="509">
        <f aca="true" t="shared" si="11" ref="D25:S25">SUM(D26:D35)</f>
        <v>712773</v>
      </c>
      <c r="E25" s="509">
        <f t="shared" si="11"/>
        <v>167285</v>
      </c>
      <c r="F25" s="509">
        <f t="shared" si="11"/>
        <v>582568</v>
      </c>
      <c r="G25" s="509">
        <f t="shared" si="11"/>
        <v>473123</v>
      </c>
      <c r="H25" s="509">
        <f t="shared" si="11"/>
        <v>473123</v>
      </c>
      <c r="I25" s="509">
        <f t="shared" si="11"/>
        <v>0</v>
      </c>
      <c r="J25" s="509">
        <f t="shared" si="11"/>
        <v>109445</v>
      </c>
      <c r="K25" s="509">
        <f t="shared" si="11"/>
        <v>109445</v>
      </c>
      <c r="L25" s="509">
        <f t="shared" si="11"/>
        <v>0</v>
      </c>
      <c r="M25" s="509">
        <f t="shared" si="11"/>
        <v>297490</v>
      </c>
      <c r="N25" s="509">
        <f t="shared" si="11"/>
        <v>239650</v>
      </c>
      <c r="O25" s="509">
        <f t="shared" si="11"/>
        <v>239650</v>
      </c>
      <c r="P25" s="509">
        <f t="shared" si="11"/>
        <v>0</v>
      </c>
      <c r="Q25" s="509">
        <f t="shared" si="11"/>
        <v>57840</v>
      </c>
      <c r="R25" s="509">
        <f t="shared" si="11"/>
        <v>57840</v>
      </c>
      <c r="S25" s="509">
        <f t="shared" si="11"/>
        <v>0</v>
      </c>
    </row>
    <row r="26" spans="1:19" ht="15.75">
      <c r="A26" s="514">
        <v>1</v>
      </c>
      <c r="B26" s="515" t="s">
        <v>56</v>
      </c>
      <c r="C26" s="513">
        <f>D26+E26</f>
        <v>1372</v>
      </c>
      <c r="D26" s="513">
        <f>G26+N26</f>
        <v>1020</v>
      </c>
      <c r="E26" s="513">
        <f>J26+Q26</f>
        <v>352</v>
      </c>
      <c r="F26" s="513">
        <f>G26+J26</f>
        <v>108</v>
      </c>
      <c r="G26" s="513">
        <f>H26+I26</f>
        <v>0</v>
      </c>
      <c r="H26" s="447">
        <v>0</v>
      </c>
      <c r="I26" s="513"/>
      <c r="J26" s="513">
        <f>K26+L26</f>
        <v>108</v>
      </c>
      <c r="K26" s="513">
        <v>108</v>
      </c>
      <c r="L26" s="513"/>
      <c r="M26" s="513">
        <f>N26+Q26</f>
        <v>1264</v>
      </c>
      <c r="N26" s="513">
        <f>O26+P26</f>
        <v>1020</v>
      </c>
      <c r="O26" s="513">
        <v>1020</v>
      </c>
      <c r="P26" s="513"/>
      <c r="Q26" s="513">
        <f>R26+S26</f>
        <v>244</v>
      </c>
      <c r="R26" s="513">
        <v>244</v>
      </c>
      <c r="S26" s="513"/>
    </row>
    <row r="27" spans="1:19" ht="15.75">
      <c r="A27" s="514">
        <v>2</v>
      </c>
      <c r="B27" s="515" t="s">
        <v>58</v>
      </c>
      <c r="C27" s="513">
        <f aca="true" t="shared" si="12" ref="C27:C36">D27+E27</f>
        <v>74690</v>
      </c>
      <c r="D27" s="513">
        <f>G27+N27</f>
        <v>58355</v>
      </c>
      <c r="E27" s="513">
        <f>J27+Q27</f>
        <v>16335</v>
      </c>
      <c r="F27" s="513">
        <f>G27+J27</f>
        <v>25258</v>
      </c>
      <c r="G27" s="513">
        <f>H27+I27</f>
        <v>18651</v>
      </c>
      <c r="H27" s="447">
        <f>15488+3163</f>
        <v>18651</v>
      </c>
      <c r="I27" s="513"/>
      <c r="J27" s="513">
        <f>K27+L27</f>
        <v>6607</v>
      </c>
      <c r="K27" s="513">
        <v>6607</v>
      </c>
      <c r="L27" s="513"/>
      <c r="M27" s="513">
        <f>N27+Q27</f>
        <v>49432</v>
      </c>
      <c r="N27" s="513">
        <f>O27+P27</f>
        <v>39704</v>
      </c>
      <c r="O27" s="513">
        <v>39704</v>
      </c>
      <c r="P27" s="513"/>
      <c r="Q27" s="513">
        <f>R27+S27</f>
        <v>9728</v>
      </c>
      <c r="R27" s="513">
        <v>9728</v>
      </c>
      <c r="S27" s="513"/>
    </row>
    <row r="28" spans="1:19" ht="15.75">
      <c r="A28" s="516">
        <v>3</v>
      </c>
      <c r="B28" s="517" t="s">
        <v>62</v>
      </c>
      <c r="C28" s="518">
        <f t="shared" si="12"/>
        <v>120967</v>
      </c>
      <c r="D28" s="518">
        <f>G28+N28</f>
        <v>97247</v>
      </c>
      <c r="E28" s="518">
        <f>J28+Q28</f>
        <v>23720</v>
      </c>
      <c r="F28" s="518">
        <f>G28+J28</f>
        <v>70122</v>
      </c>
      <c r="G28" s="518">
        <f>H28+I28</f>
        <v>55964</v>
      </c>
      <c r="H28" s="529">
        <f>57093-1129</f>
        <v>55964</v>
      </c>
      <c r="I28" s="518"/>
      <c r="J28" s="518">
        <f>K28+L28</f>
        <v>14158</v>
      </c>
      <c r="K28" s="518">
        <v>14158</v>
      </c>
      <c r="L28" s="518"/>
      <c r="M28" s="518">
        <f>N28+Q28</f>
        <v>50845</v>
      </c>
      <c r="N28" s="518">
        <f>O28+P28</f>
        <v>41283</v>
      </c>
      <c r="O28" s="518">
        <v>41283</v>
      </c>
      <c r="P28" s="518"/>
      <c r="Q28" s="518">
        <f>R28+S28</f>
        <v>9562</v>
      </c>
      <c r="R28" s="518">
        <v>9562</v>
      </c>
      <c r="S28" s="518"/>
    </row>
    <row r="29" spans="1:19" ht="15.75">
      <c r="A29" s="516">
        <v>4</v>
      </c>
      <c r="B29" s="517" t="s">
        <v>61</v>
      </c>
      <c r="C29" s="518">
        <f t="shared" si="12"/>
        <v>116543</v>
      </c>
      <c r="D29" s="518">
        <f>G29+N29</f>
        <v>98097</v>
      </c>
      <c r="E29" s="518">
        <f>J29+Q29</f>
        <v>18446</v>
      </c>
      <c r="F29" s="518">
        <f>G29+J29</f>
        <v>90731</v>
      </c>
      <c r="G29" s="518">
        <f>H29+I29</f>
        <v>77201</v>
      </c>
      <c r="H29" s="529">
        <f>77617-416</f>
        <v>77201</v>
      </c>
      <c r="I29" s="518"/>
      <c r="J29" s="518">
        <f>K29+L29</f>
        <v>13530</v>
      </c>
      <c r="K29" s="518">
        <v>13530</v>
      </c>
      <c r="L29" s="518"/>
      <c r="M29" s="518">
        <f>N29+Q29</f>
        <v>25812</v>
      </c>
      <c r="N29" s="518">
        <f>O29+P29</f>
        <v>20896</v>
      </c>
      <c r="O29" s="518">
        <v>20896</v>
      </c>
      <c r="P29" s="518"/>
      <c r="Q29" s="518">
        <f>R29+S29</f>
        <v>4916</v>
      </c>
      <c r="R29" s="518">
        <v>4916</v>
      </c>
      <c r="S29" s="518"/>
    </row>
    <row r="30" spans="1:19" ht="15.75">
      <c r="A30" s="516">
        <v>5</v>
      </c>
      <c r="B30" s="517" t="s">
        <v>63</v>
      </c>
      <c r="C30" s="518">
        <f t="shared" si="12"/>
        <v>122864</v>
      </c>
      <c r="D30" s="518">
        <f aca="true" t="shared" si="13" ref="D30:D35">G30+N30</f>
        <v>102230</v>
      </c>
      <c r="E30" s="518">
        <f aca="true" t="shared" si="14" ref="E30:E35">J30+Q30</f>
        <v>20634</v>
      </c>
      <c r="F30" s="518">
        <f aca="true" t="shared" si="15" ref="F30:F35">G30+J30</f>
        <v>93536</v>
      </c>
      <c r="G30" s="518">
        <f aca="true" t="shared" si="16" ref="G30:G35">H30+I30</f>
        <v>78783</v>
      </c>
      <c r="H30" s="529">
        <f>79312-529</f>
        <v>78783</v>
      </c>
      <c r="I30" s="518"/>
      <c r="J30" s="518">
        <f aca="true" t="shared" si="17" ref="J30:J35">K30+L30</f>
        <v>14753</v>
      </c>
      <c r="K30" s="518">
        <v>14753</v>
      </c>
      <c r="L30" s="518"/>
      <c r="M30" s="518">
        <f aca="true" t="shared" si="18" ref="M30:M35">N30+Q30</f>
        <v>29328</v>
      </c>
      <c r="N30" s="518">
        <f aca="true" t="shared" si="19" ref="N30:N35">O30+P30</f>
        <v>23447</v>
      </c>
      <c r="O30" s="518">
        <v>23447</v>
      </c>
      <c r="P30" s="518"/>
      <c r="Q30" s="518">
        <f aca="true" t="shared" si="20" ref="Q30:Q36">R30+S30</f>
        <v>5881</v>
      </c>
      <c r="R30" s="518">
        <v>5881</v>
      </c>
      <c r="S30" s="518"/>
    </row>
    <row r="31" spans="1:19" ht="15.75">
      <c r="A31" s="514">
        <v>6</v>
      </c>
      <c r="B31" s="515" t="s">
        <v>60</v>
      </c>
      <c r="C31" s="513">
        <f t="shared" si="12"/>
        <v>83153</v>
      </c>
      <c r="D31" s="513">
        <f t="shared" si="13"/>
        <v>65467</v>
      </c>
      <c r="E31" s="513">
        <f t="shared" si="14"/>
        <v>17686</v>
      </c>
      <c r="F31" s="513">
        <f t="shared" si="15"/>
        <v>54220</v>
      </c>
      <c r="G31" s="513">
        <f t="shared" si="16"/>
        <v>42529</v>
      </c>
      <c r="H31" s="447">
        <f>42551-22</f>
        <v>42529</v>
      </c>
      <c r="I31" s="513"/>
      <c r="J31" s="513">
        <f t="shared" si="17"/>
        <v>11691</v>
      </c>
      <c r="K31" s="513">
        <v>11691</v>
      </c>
      <c r="L31" s="513"/>
      <c r="M31" s="513">
        <f t="shared" si="18"/>
        <v>28933</v>
      </c>
      <c r="N31" s="513">
        <f t="shared" si="19"/>
        <v>22938</v>
      </c>
      <c r="O31" s="513">
        <v>22938</v>
      </c>
      <c r="P31" s="513"/>
      <c r="Q31" s="513">
        <f t="shared" si="20"/>
        <v>5995</v>
      </c>
      <c r="R31" s="513">
        <v>5995</v>
      </c>
      <c r="S31" s="513"/>
    </row>
    <row r="32" spans="1:19" ht="15.75">
      <c r="A32" s="516">
        <v>7</v>
      </c>
      <c r="B32" s="517" t="s">
        <v>64</v>
      </c>
      <c r="C32" s="518">
        <f t="shared" si="12"/>
        <v>106156</v>
      </c>
      <c r="D32" s="518">
        <f t="shared" si="13"/>
        <v>85776</v>
      </c>
      <c r="E32" s="518">
        <f t="shared" si="14"/>
        <v>20380</v>
      </c>
      <c r="F32" s="518">
        <f t="shared" si="15"/>
        <v>74619</v>
      </c>
      <c r="G32" s="518">
        <f t="shared" si="16"/>
        <v>59784</v>
      </c>
      <c r="H32" s="529">
        <f>60372-588</f>
        <v>59784</v>
      </c>
      <c r="I32" s="518"/>
      <c r="J32" s="518">
        <f t="shared" si="17"/>
        <v>14835</v>
      </c>
      <c r="K32" s="518">
        <v>14835</v>
      </c>
      <c r="L32" s="518"/>
      <c r="M32" s="518">
        <f t="shared" si="18"/>
        <v>31537</v>
      </c>
      <c r="N32" s="518">
        <f t="shared" si="19"/>
        <v>25992</v>
      </c>
      <c r="O32" s="518">
        <v>25992</v>
      </c>
      <c r="P32" s="518"/>
      <c r="Q32" s="518">
        <f t="shared" si="20"/>
        <v>5545</v>
      </c>
      <c r="R32" s="518">
        <v>5545</v>
      </c>
      <c r="S32" s="518"/>
    </row>
    <row r="33" spans="1:19" s="510" customFormat="1" ht="15.75">
      <c r="A33" s="514">
        <v>8</v>
      </c>
      <c r="B33" s="515" t="s">
        <v>65</v>
      </c>
      <c r="C33" s="513">
        <f t="shared" si="12"/>
        <v>123938</v>
      </c>
      <c r="D33" s="513">
        <f t="shared" si="13"/>
        <v>99513</v>
      </c>
      <c r="E33" s="513">
        <f t="shared" si="14"/>
        <v>24425</v>
      </c>
      <c r="F33" s="513">
        <f t="shared" si="15"/>
        <v>79443</v>
      </c>
      <c r="G33" s="513">
        <f t="shared" si="16"/>
        <v>63329</v>
      </c>
      <c r="H33" s="447">
        <f>64088-759</f>
        <v>63329</v>
      </c>
      <c r="I33" s="513"/>
      <c r="J33" s="513">
        <f t="shared" si="17"/>
        <v>16114</v>
      </c>
      <c r="K33" s="513">
        <v>16114</v>
      </c>
      <c r="L33" s="513"/>
      <c r="M33" s="513">
        <f t="shared" si="18"/>
        <v>44495</v>
      </c>
      <c r="N33" s="513">
        <f t="shared" si="19"/>
        <v>36184</v>
      </c>
      <c r="O33" s="513">
        <v>36184</v>
      </c>
      <c r="P33" s="513"/>
      <c r="Q33" s="513">
        <f t="shared" si="20"/>
        <v>8311</v>
      </c>
      <c r="R33" s="513">
        <v>8311</v>
      </c>
      <c r="S33" s="513"/>
    </row>
    <row r="34" spans="1:19" ht="15.75">
      <c r="A34" s="514">
        <v>9</v>
      </c>
      <c r="B34" s="515" t="s">
        <v>57</v>
      </c>
      <c r="C34" s="513">
        <f t="shared" si="12"/>
        <v>1890</v>
      </c>
      <c r="D34" s="513">
        <f t="shared" si="13"/>
        <v>1461</v>
      </c>
      <c r="E34" s="513">
        <f t="shared" si="14"/>
        <v>429</v>
      </c>
      <c r="F34" s="513">
        <f t="shared" si="15"/>
        <v>1105</v>
      </c>
      <c r="G34" s="513">
        <f t="shared" si="16"/>
        <v>800</v>
      </c>
      <c r="H34" s="447">
        <v>800</v>
      </c>
      <c r="I34" s="513"/>
      <c r="J34" s="513">
        <f t="shared" si="17"/>
        <v>305</v>
      </c>
      <c r="K34" s="513">
        <v>305</v>
      </c>
      <c r="L34" s="513"/>
      <c r="M34" s="513">
        <f t="shared" si="18"/>
        <v>785</v>
      </c>
      <c r="N34" s="513">
        <f t="shared" si="19"/>
        <v>661</v>
      </c>
      <c r="O34" s="513">
        <v>661</v>
      </c>
      <c r="P34" s="513"/>
      <c r="Q34" s="513">
        <f t="shared" si="20"/>
        <v>124</v>
      </c>
      <c r="R34" s="513">
        <v>124</v>
      </c>
      <c r="S34" s="513"/>
    </row>
    <row r="35" spans="1:19" ht="15.75">
      <c r="A35" s="514">
        <v>10</v>
      </c>
      <c r="B35" s="515" t="s">
        <v>59</v>
      </c>
      <c r="C35" s="513">
        <f t="shared" si="12"/>
        <v>128485</v>
      </c>
      <c r="D35" s="513">
        <f t="shared" si="13"/>
        <v>103607</v>
      </c>
      <c r="E35" s="513">
        <f t="shared" si="14"/>
        <v>24878</v>
      </c>
      <c r="F35" s="513">
        <f t="shared" si="15"/>
        <v>93426</v>
      </c>
      <c r="G35" s="513">
        <f t="shared" si="16"/>
        <v>76082</v>
      </c>
      <c r="H35" s="447">
        <f>76602-520</f>
        <v>76082</v>
      </c>
      <c r="I35" s="513"/>
      <c r="J35" s="513">
        <f t="shared" si="17"/>
        <v>17344</v>
      </c>
      <c r="K35" s="513">
        <v>17344</v>
      </c>
      <c r="L35" s="513"/>
      <c r="M35" s="513">
        <f t="shared" si="18"/>
        <v>35059</v>
      </c>
      <c r="N35" s="513">
        <f t="shared" si="19"/>
        <v>27525</v>
      </c>
      <c r="O35" s="513">
        <v>27525</v>
      </c>
      <c r="P35" s="513"/>
      <c r="Q35" s="513">
        <f t="shared" si="20"/>
        <v>7534</v>
      </c>
      <c r="R35" s="513">
        <v>7534</v>
      </c>
      <c r="S35" s="513"/>
    </row>
    <row r="36" spans="1:19" ht="15.75">
      <c r="A36" s="519" t="s">
        <v>14</v>
      </c>
      <c r="B36" s="520" t="s">
        <v>561</v>
      </c>
      <c r="C36" s="521">
        <f t="shared" si="12"/>
        <v>10000</v>
      </c>
      <c r="D36" s="521">
        <f>G36+N36</f>
        <v>0</v>
      </c>
      <c r="E36" s="521">
        <f>J36+Q36</f>
        <v>10000</v>
      </c>
      <c r="F36" s="521"/>
      <c r="G36" s="521"/>
      <c r="H36" s="521"/>
      <c r="I36" s="521"/>
      <c r="J36" s="521"/>
      <c r="K36" s="521"/>
      <c r="L36" s="521"/>
      <c r="M36" s="521"/>
      <c r="N36" s="521"/>
      <c r="O36" s="521"/>
      <c r="P36" s="521"/>
      <c r="Q36" s="521">
        <f t="shared" si="20"/>
        <v>10000</v>
      </c>
      <c r="R36" s="521">
        <v>10000</v>
      </c>
      <c r="S36" s="521"/>
    </row>
  </sheetData>
  <sheetProtection/>
  <mergeCells count="19">
    <mergeCell ref="K1:L1"/>
    <mergeCell ref="A2:S2"/>
    <mergeCell ref="Q4:S4"/>
    <mergeCell ref="A5:A7"/>
    <mergeCell ref="B5:B7"/>
    <mergeCell ref="C5:C7"/>
    <mergeCell ref="D5:E5"/>
    <mergeCell ref="F5:L5"/>
    <mergeCell ref="M5:S5"/>
    <mergeCell ref="O1:S1"/>
    <mergeCell ref="A3:S3"/>
    <mergeCell ref="N6:P6"/>
    <mergeCell ref="Q6:S6"/>
    <mergeCell ref="D6:D7"/>
    <mergeCell ref="E6:E7"/>
    <mergeCell ref="F6:F7"/>
    <mergeCell ref="G6:I6"/>
    <mergeCell ref="J6:L6"/>
    <mergeCell ref="M6:M7"/>
  </mergeCells>
  <printOptions horizontalCentered="1"/>
  <pageMargins left="0" right="0" top="0.5" bottom="0.5" header="0.3" footer="0.3"/>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pageSetUpPr fitToPage="1"/>
  </sheetPr>
  <dimension ref="A1:N67"/>
  <sheetViews>
    <sheetView view="pageBreakPreview" zoomScale="60" zoomScalePageLayoutView="0" workbookViewId="0" topLeftCell="A4">
      <selection activeCell="K26" sqref="K26"/>
    </sheetView>
  </sheetViews>
  <sheetFormatPr defaultColWidth="8.796875" defaultRowHeight="15"/>
  <cols>
    <col min="1" max="1" width="5.09765625" style="105" customWidth="1"/>
    <col min="2" max="2" width="26.69921875" style="105" customWidth="1"/>
    <col min="3" max="3" width="11.19921875" style="105" customWidth="1"/>
    <col min="4" max="4" width="9.3984375" style="105" customWidth="1"/>
    <col min="5" max="5" width="10" style="105" customWidth="1"/>
    <col min="6" max="6" width="9.5" style="105" customWidth="1"/>
    <col min="7" max="7" width="9.3984375" style="105" customWidth="1"/>
    <col min="8" max="8" width="11.09765625" style="105" customWidth="1"/>
    <col min="9" max="9" width="10" style="105" customWidth="1"/>
    <col min="10" max="10" width="8.3984375" style="105" customWidth="1"/>
    <col min="11" max="11" width="12.5" style="105" customWidth="1"/>
    <col min="12" max="12" width="13.59765625" style="105" customWidth="1"/>
    <col min="13" max="13" width="13" style="105" customWidth="1"/>
    <col min="14" max="16384" width="9" style="105" customWidth="1"/>
  </cols>
  <sheetData>
    <row r="1" spans="1:11" ht="21" customHeight="1">
      <c r="A1" s="103"/>
      <c r="B1" s="103"/>
      <c r="C1" s="104"/>
      <c r="D1" s="104"/>
      <c r="E1" s="104"/>
      <c r="F1" s="104"/>
      <c r="G1" s="655" t="s">
        <v>153</v>
      </c>
      <c r="H1" s="655"/>
      <c r="I1" s="655"/>
      <c r="J1" s="655"/>
      <c r="K1" s="655"/>
    </row>
    <row r="2" spans="1:11" ht="12.75" customHeight="1">
      <c r="A2" s="106"/>
      <c r="B2" s="106"/>
      <c r="C2" s="104"/>
      <c r="D2" s="104"/>
      <c r="E2" s="104"/>
      <c r="F2" s="104"/>
      <c r="G2" s="104"/>
      <c r="H2" s="104"/>
      <c r="I2" s="104"/>
      <c r="J2" s="104"/>
      <c r="K2" s="104"/>
    </row>
    <row r="3" spans="1:11" ht="21" customHeight="1">
      <c r="A3" s="656" t="s">
        <v>562</v>
      </c>
      <c r="B3" s="656"/>
      <c r="C3" s="656"/>
      <c r="D3" s="656"/>
      <c r="E3" s="656"/>
      <c r="F3" s="656"/>
      <c r="G3" s="656"/>
      <c r="H3" s="656"/>
      <c r="I3" s="656"/>
      <c r="J3" s="656"/>
      <c r="K3" s="656"/>
    </row>
    <row r="4" spans="1:11" ht="21" customHeight="1">
      <c r="A4" s="656"/>
      <c r="B4" s="656"/>
      <c r="C4" s="656"/>
      <c r="D4" s="656"/>
      <c r="E4" s="656"/>
      <c r="F4" s="656"/>
      <c r="G4" s="656"/>
      <c r="H4" s="656"/>
      <c r="I4" s="656"/>
      <c r="J4" s="656"/>
      <c r="K4" s="656"/>
    </row>
    <row r="5" spans="1:11" ht="19.5" customHeight="1">
      <c r="A5" s="657" t="str">
        <f>'Biểu 15-NQ'!A4:G4</f>
        <v>(Kèm theo Nghị quyết số   96 /NQ-HĐND ngày  07  tháng 12 năm 2018 của HĐND tỉnh Điện Biên)</v>
      </c>
      <c r="B5" s="658"/>
      <c r="C5" s="658"/>
      <c r="D5" s="658"/>
      <c r="E5" s="658"/>
      <c r="F5" s="658"/>
      <c r="G5" s="658"/>
      <c r="H5" s="658"/>
      <c r="I5" s="658"/>
      <c r="J5" s="658"/>
      <c r="K5" s="658"/>
    </row>
    <row r="6" spans="1:11" ht="19.5" customHeight="1">
      <c r="A6" s="107"/>
      <c r="B6" s="108"/>
      <c r="C6" s="108"/>
      <c r="D6" s="108"/>
      <c r="E6" s="108"/>
      <c r="F6" s="108"/>
      <c r="G6" s="108"/>
      <c r="H6" s="108"/>
      <c r="I6" s="108"/>
      <c r="J6" s="108"/>
      <c r="K6" s="108"/>
    </row>
    <row r="7" spans="1:11" ht="19.5" customHeight="1">
      <c r="A7" s="109"/>
      <c r="B7" s="109"/>
      <c r="C7" s="110"/>
      <c r="D7" s="110"/>
      <c r="E7" s="110"/>
      <c r="F7" s="110"/>
      <c r="G7" s="110"/>
      <c r="H7" s="110"/>
      <c r="I7" s="110"/>
      <c r="J7" s="110"/>
      <c r="K7" s="111" t="s">
        <v>17</v>
      </c>
    </row>
    <row r="8" spans="1:11" s="112" customFormat="1" ht="42" customHeight="1">
      <c r="A8" s="659" t="s">
        <v>70</v>
      </c>
      <c r="B8" s="659" t="s">
        <v>53</v>
      </c>
      <c r="C8" s="660" t="s">
        <v>154</v>
      </c>
      <c r="D8" s="660" t="s">
        <v>155</v>
      </c>
      <c r="E8" s="660" t="s">
        <v>156</v>
      </c>
      <c r="F8" s="660"/>
      <c r="G8" s="660"/>
      <c r="H8" s="660" t="s">
        <v>157</v>
      </c>
      <c r="I8" s="661" t="s">
        <v>158</v>
      </c>
      <c r="J8" s="660" t="s">
        <v>159</v>
      </c>
      <c r="K8" s="660" t="s">
        <v>160</v>
      </c>
    </row>
    <row r="9" spans="1:11" s="112" customFormat="1" ht="42" customHeight="1">
      <c r="A9" s="659"/>
      <c r="B9" s="659"/>
      <c r="C9" s="660"/>
      <c r="D9" s="660"/>
      <c r="E9" s="660" t="s">
        <v>161</v>
      </c>
      <c r="F9" s="660" t="s">
        <v>162</v>
      </c>
      <c r="G9" s="664"/>
      <c r="H9" s="660"/>
      <c r="I9" s="662"/>
      <c r="J9" s="660"/>
      <c r="K9" s="660"/>
    </row>
    <row r="10" spans="1:11" s="112" customFormat="1" ht="42" customHeight="1">
      <c r="A10" s="659"/>
      <c r="B10" s="659"/>
      <c r="C10" s="660"/>
      <c r="D10" s="660"/>
      <c r="E10" s="660"/>
      <c r="F10" s="660" t="s">
        <v>138</v>
      </c>
      <c r="G10" s="660" t="s">
        <v>163</v>
      </c>
      <c r="H10" s="660"/>
      <c r="I10" s="662"/>
      <c r="J10" s="660"/>
      <c r="K10" s="660"/>
    </row>
    <row r="11" spans="1:11" s="112" customFormat="1" ht="42" customHeight="1">
      <c r="A11" s="659"/>
      <c r="B11" s="659"/>
      <c r="C11" s="660"/>
      <c r="D11" s="660"/>
      <c r="E11" s="660"/>
      <c r="F11" s="660"/>
      <c r="G11" s="664"/>
      <c r="H11" s="660"/>
      <c r="I11" s="662"/>
      <c r="J11" s="660"/>
      <c r="K11" s="660"/>
    </row>
    <row r="12" spans="1:11" s="112" customFormat="1" ht="42" customHeight="1">
      <c r="A12" s="659"/>
      <c r="B12" s="659"/>
      <c r="C12" s="660"/>
      <c r="D12" s="660"/>
      <c r="E12" s="660"/>
      <c r="F12" s="660"/>
      <c r="G12" s="664"/>
      <c r="H12" s="660"/>
      <c r="I12" s="663"/>
      <c r="J12" s="660"/>
      <c r="K12" s="660"/>
    </row>
    <row r="13" spans="1:11" s="114" customFormat="1" ht="24" customHeight="1">
      <c r="A13" s="113" t="s">
        <v>3</v>
      </c>
      <c r="B13" s="113" t="s">
        <v>12</v>
      </c>
      <c r="C13" s="113">
        <v>1</v>
      </c>
      <c r="D13" s="113" t="s">
        <v>164</v>
      </c>
      <c r="E13" s="113">
        <v>3</v>
      </c>
      <c r="F13" s="113">
        <f>E13+1</f>
        <v>4</v>
      </c>
      <c r="G13" s="113">
        <f>F13+1</f>
        <v>5</v>
      </c>
      <c r="H13" s="113">
        <f>G13+1</f>
        <v>6</v>
      </c>
      <c r="I13" s="113">
        <f>H13+1</f>
        <v>7</v>
      </c>
      <c r="J13" s="113">
        <f>I13+1</f>
        <v>8</v>
      </c>
      <c r="K13" s="113" t="s">
        <v>165</v>
      </c>
    </row>
    <row r="14" spans="1:14" s="118" customFormat="1" ht="27.75" customHeight="1">
      <c r="A14" s="115"/>
      <c r="B14" s="116" t="s">
        <v>2</v>
      </c>
      <c r="C14" s="117">
        <f aca="true" t="shared" si="0" ref="C14:K14">SUM(C15:C24)</f>
        <v>505800</v>
      </c>
      <c r="D14" s="117">
        <f>SUM(D15:D24)</f>
        <v>456800</v>
      </c>
      <c r="E14" s="117">
        <f t="shared" si="0"/>
        <v>453550</v>
      </c>
      <c r="F14" s="117">
        <f t="shared" si="0"/>
        <v>3250</v>
      </c>
      <c r="G14" s="117">
        <f t="shared" si="0"/>
        <v>3250</v>
      </c>
      <c r="H14" s="117">
        <f t="shared" si="0"/>
        <v>3906433</v>
      </c>
      <c r="I14" s="117">
        <f t="shared" si="0"/>
        <v>294888</v>
      </c>
      <c r="J14" s="117">
        <f t="shared" si="0"/>
        <v>0</v>
      </c>
      <c r="K14" s="117">
        <f t="shared" si="0"/>
        <v>4658121</v>
      </c>
      <c r="M14" s="117"/>
      <c r="N14" s="117"/>
    </row>
    <row r="15" spans="1:14" s="110" customFormat="1" ht="27.75" customHeight="1">
      <c r="A15" s="58">
        <v>1</v>
      </c>
      <c r="B15" s="59" t="s">
        <v>56</v>
      </c>
      <c r="C15" s="119">
        <v>266000</v>
      </c>
      <c r="D15" s="119">
        <v>226200</v>
      </c>
      <c r="E15" s="119">
        <f aca="true" t="shared" si="1" ref="E15:E24">D15-G15</f>
        <v>226200</v>
      </c>
      <c r="F15" s="119"/>
      <c r="G15" s="119"/>
      <c r="H15" s="119">
        <v>175214</v>
      </c>
      <c r="I15" s="119">
        <v>30434</v>
      </c>
      <c r="J15" s="119"/>
      <c r="K15" s="119">
        <v>431848</v>
      </c>
      <c r="L15" s="335"/>
      <c r="M15" s="119"/>
      <c r="N15" s="119"/>
    </row>
    <row r="16" spans="1:14" s="110" customFormat="1" ht="27.75" customHeight="1">
      <c r="A16" s="58">
        <v>2</v>
      </c>
      <c r="B16" s="59" t="s">
        <v>58</v>
      </c>
      <c r="C16" s="119">
        <v>97000</v>
      </c>
      <c r="D16" s="119">
        <v>95750</v>
      </c>
      <c r="E16" s="119">
        <f t="shared" si="1"/>
        <v>93250</v>
      </c>
      <c r="F16" s="119">
        <f>G16</f>
        <v>2500</v>
      </c>
      <c r="G16" s="119">
        <v>2500</v>
      </c>
      <c r="H16" s="119">
        <v>696641</v>
      </c>
      <c r="I16" s="119">
        <v>53783</v>
      </c>
      <c r="J16" s="119"/>
      <c r="K16" s="119">
        <v>846174</v>
      </c>
      <c r="L16" s="335"/>
      <c r="M16" s="119"/>
      <c r="N16" s="119"/>
    </row>
    <row r="17" spans="1:14" s="110" customFormat="1" ht="27.75" customHeight="1">
      <c r="A17" s="58">
        <v>3</v>
      </c>
      <c r="B17" s="59" t="s">
        <v>62</v>
      </c>
      <c r="C17" s="119">
        <v>46000</v>
      </c>
      <c r="D17" s="119">
        <v>43450</v>
      </c>
      <c r="E17" s="119">
        <f t="shared" si="1"/>
        <v>43350</v>
      </c>
      <c r="F17" s="119">
        <f aca="true" t="shared" si="2" ref="F17:F24">G17</f>
        <v>100</v>
      </c>
      <c r="G17" s="119">
        <v>100</v>
      </c>
      <c r="H17" s="119">
        <v>526437</v>
      </c>
      <c r="I17" s="119">
        <v>47045</v>
      </c>
      <c r="J17" s="119"/>
      <c r="K17" s="119">
        <v>616932</v>
      </c>
      <c r="L17" s="335"/>
      <c r="M17" s="119"/>
      <c r="N17" s="119"/>
    </row>
    <row r="18" spans="1:14" s="110" customFormat="1" ht="27.75" customHeight="1">
      <c r="A18" s="58">
        <v>4</v>
      </c>
      <c r="B18" s="59" t="s">
        <v>61</v>
      </c>
      <c r="C18" s="119">
        <v>19500</v>
      </c>
      <c r="D18" s="119">
        <v>18200</v>
      </c>
      <c r="E18" s="119">
        <f t="shared" si="1"/>
        <v>18000</v>
      </c>
      <c r="F18" s="119">
        <f t="shared" si="2"/>
        <v>200</v>
      </c>
      <c r="G18" s="119">
        <v>200</v>
      </c>
      <c r="H18" s="119">
        <v>321411</v>
      </c>
      <c r="I18" s="119">
        <v>21916</v>
      </c>
      <c r="J18" s="119"/>
      <c r="K18" s="119">
        <v>361527</v>
      </c>
      <c r="L18" s="335"/>
      <c r="M18" s="119"/>
      <c r="N18" s="119"/>
    </row>
    <row r="19" spans="1:14" s="110" customFormat="1" ht="27.75" customHeight="1">
      <c r="A19" s="58">
        <v>5</v>
      </c>
      <c r="B19" s="59" t="s">
        <v>63</v>
      </c>
      <c r="C19" s="119">
        <v>14000</v>
      </c>
      <c r="D19" s="119">
        <v>13550</v>
      </c>
      <c r="E19" s="119">
        <f t="shared" si="1"/>
        <v>13500</v>
      </c>
      <c r="F19" s="119">
        <f t="shared" si="2"/>
        <v>50</v>
      </c>
      <c r="G19" s="119">
        <v>50</v>
      </c>
      <c r="H19" s="119">
        <v>357713</v>
      </c>
      <c r="I19" s="119">
        <v>21606</v>
      </c>
      <c r="J19" s="119"/>
      <c r="K19" s="119">
        <v>392869</v>
      </c>
      <c r="L19" s="335"/>
      <c r="M19" s="119"/>
      <c r="N19" s="119"/>
    </row>
    <row r="20" spans="1:14" s="110" customFormat="1" ht="27.75" customHeight="1">
      <c r="A20" s="58">
        <v>6</v>
      </c>
      <c r="B20" s="59" t="s">
        <v>60</v>
      </c>
      <c r="C20" s="119">
        <v>25800</v>
      </c>
      <c r="D20" s="119">
        <v>24550</v>
      </c>
      <c r="E20" s="119">
        <f t="shared" si="1"/>
        <v>24500</v>
      </c>
      <c r="F20" s="119">
        <f t="shared" si="2"/>
        <v>50</v>
      </c>
      <c r="G20" s="119">
        <v>50</v>
      </c>
      <c r="H20" s="119">
        <f>376964+2000</f>
        <v>378964</v>
      </c>
      <c r="I20" s="119">
        <v>25663</v>
      </c>
      <c r="J20" s="119"/>
      <c r="K20" s="119">
        <f>427177+2000</f>
        <v>429177</v>
      </c>
      <c r="L20" s="335"/>
      <c r="M20" s="119"/>
      <c r="N20" s="119"/>
    </row>
    <row r="21" spans="1:14" s="110" customFormat="1" ht="27.75" customHeight="1">
      <c r="A21" s="58">
        <v>7</v>
      </c>
      <c r="B21" s="59" t="s">
        <v>64</v>
      </c>
      <c r="C21" s="119">
        <v>12000</v>
      </c>
      <c r="D21" s="119">
        <v>11600</v>
      </c>
      <c r="E21" s="119">
        <f t="shared" si="1"/>
        <v>11550</v>
      </c>
      <c r="F21" s="119">
        <f t="shared" si="2"/>
        <v>50</v>
      </c>
      <c r="G21" s="119">
        <v>50</v>
      </c>
      <c r="H21" s="119">
        <v>405634</v>
      </c>
      <c r="I21" s="119">
        <v>27542</v>
      </c>
      <c r="J21" s="119"/>
      <c r="K21" s="119">
        <v>444776</v>
      </c>
      <c r="L21" s="335"/>
      <c r="M21" s="119"/>
      <c r="N21" s="119"/>
    </row>
    <row r="22" spans="1:14" s="110" customFormat="1" ht="27.75" customHeight="1">
      <c r="A22" s="58">
        <v>8</v>
      </c>
      <c r="B22" s="59" t="s">
        <v>65</v>
      </c>
      <c r="C22" s="119">
        <v>6500</v>
      </c>
      <c r="D22" s="119">
        <v>6450</v>
      </c>
      <c r="E22" s="119">
        <f t="shared" si="1"/>
        <v>6350</v>
      </c>
      <c r="F22" s="119">
        <f t="shared" si="2"/>
        <v>100</v>
      </c>
      <c r="G22" s="119">
        <v>100</v>
      </c>
      <c r="H22" s="119">
        <v>435540</v>
      </c>
      <c r="I22" s="119">
        <v>27664</v>
      </c>
      <c r="J22" s="119"/>
      <c r="K22" s="119">
        <v>469654</v>
      </c>
      <c r="L22" s="335"/>
      <c r="M22" s="119"/>
      <c r="N22" s="119"/>
    </row>
    <row r="23" spans="1:14" s="110" customFormat="1" ht="27.75" customHeight="1">
      <c r="A23" s="58">
        <v>9</v>
      </c>
      <c r="B23" s="59" t="s">
        <v>57</v>
      </c>
      <c r="C23" s="119">
        <v>6500</v>
      </c>
      <c r="D23" s="119">
        <v>5200</v>
      </c>
      <c r="E23" s="119">
        <f t="shared" si="1"/>
        <v>5200</v>
      </c>
      <c r="F23" s="119"/>
      <c r="G23" s="119"/>
      <c r="H23" s="119">
        <v>111743</v>
      </c>
      <c r="I23" s="119">
        <v>8233</v>
      </c>
      <c r="J23" s="119"/>
      <c r="K23" s="119">
        <v>125176</v>
      </c>
      <c r="L23" s="335"/>
      <c r="M23" s="119"/>
      <c r="N23" s="119"/>
    </row>
    <row r="24" spans="1:14" s="110" customFormat="1" ht="27.75" customHeight="1">
      <c r="A24" s="58">
        <v>10</v>
      </c>
      <c r="B24" s="59" t="s">
        <v>59</v>
      </c>
      <c r="C24" s="119">
        <v>12500</v>
      </c>
      <c r="D24" s="119">
        <v>11850</v>
      </c>
      <c r="E24" s="119">
        <f t="shared" si="1"/>
        <v>11650</v>
      </c>
      <c r="F24" s="119">
        <f t="shared" si="2"/>
        <v>200</v>
      </c>
      <c r="G24" s="119">
        <v>200</v>
      </c>
      <c r="H24" s="119">
        <v>497136</v>
      </c>
      <c r="I24" s="119">
        <v>31002</v>
      </c>
      <c r="J24" s="119"/>
      <c r="K24" s="119">
        <v>539988</v>
      </c>
      <c r="L24" s="335"/>
      <c r="M24" s="119"/>
      <c r="N24" s="119"/>
    </row>
    <row r="25" spans="1:13" s="110" customFormat="1" ht="27.75" customHeight="1">
      <c r="A25" s="120"/>
      <c r="B25" s="121"/>
      <c r="C25" s="122"/>
      <c r="D25" s="122"/>
      <c r="E25" s="122"/>
      <c r="F25" s="122"/>
      <c r="G25" s="122"/>
      <c r="H25" s="122"/>
      <c r="I25" s="122"/>
      <c r="J25" s="122"/>
      <c r="K25" s="122"/>
      <c r="L25" s="123"/>
      <c r="M25" s="123"/>
    </row>
    <row r="26" spans="1:13" s="110" customFormat="1" ht="27.75" customHeight="1">
      <c r="A26" s="124"/>
      <c r="B26" s="123"/>
      <c r="C26" s="125"/>
      <c r="D26" s="125"/>
      <c r="E26" s="125"/>
      <c r="F26" s="125"/>
      <c r="G26" s="125"/>
      <c r="H26" s="125"/>
      <c r="I26" s="125"/>
      <c r="J26" s="125"/>
      <c r="K26" s="125"/>
      <c r="L26" s="123"/>
      <c r="M26" s="123"/>
    </row>
    <row r="27" spans="1:13" s="110" customFormat="1" ht="27.75" customHeight="1">
      <c r="A27" s="124"/>
      <c r="B27" s="123"/>
      <c r="C27" s="125"/>
      <c r="D27" s="125"/>
      <c r="E27" s="125"/>
      <c r="F27" s="125"/>
      <c r="G27" s="125"/>
      <c r="H27" s="125"/>
      <c r="I27" s="125"/>
      <c r="J27" s="125"/>
      <c r="K27" s="125"/>
      <c r="L27" s="123"/>
      <c r="M27" s="123"/>
    </row>
    <row r="28" spans="1:13" s="110" customFormat="1" ht="27.75" customHeight="1">
      <c r="A28" s="124"/>
      <c r="B28" s="123"/>
      <c r="C28" s="125"/>
      <c r="D28" s="125"/>
      <c r="E28" s="125"/>
      <c r="F28" s="125"/>
      <c r="G28" s="125"/>
      <c r="H28" s="125"/>
      <c r="I28" s="125"/>
      <c r="J28" s="125"/>
      <c r="K28" s="125"/>
      <c r="L28" s="123"/>
      <c r="M28" s="123"/>
    </row>
    <row r="29" spans="1:13" s="110" customFormat="1" ht="27.75" customHeight="1" hidden="1">
      <c r="A29" s="124">
        <f aca="true" t="shared" si="3" ref="A29:A35">A28+1</f>
        <v>1</v>
      </c>
      <c r="B29" s="123"/>
      <c r="C29" s="125"/>
      <c r="D29" s="125"/>
      <c r="E29" s="125"/>
      <c r="F29" s="125"/>
      <c r="G29" s="125"/>
      <c r="H29" s="125"/>
      <c r="I29" s="125"/>
      <c r="J29" s="125"/>
      <c r="K29" s="125"/>
      <c r="L29" s="123"/>
      <c r="M29" s="123"/>
    </row>
    <row r="30" spans="1:13" s="110" customFormat="1" ht="27.75" customHeight="1" hidden="1">
      <c r="A30" s="124">
        <f t="shared" si="3"/>
        <v>2</v>
      </c>
      <c r="B30" s="123"/>
      <c r="C30" s="125"/>
      <c r="D30" s="125"/>
      <c r="E30" s="125"/>
      <c r="F30" s="125"/>
      <c r="G30" s="125"/>
      <c r="H30" s="125"/>
      <c r="I30" s="125"/>
      <c r="J30" s="125"/>
      <c r="K30" s="125"/>
      <c r="L30" s="123"/>
      <c r="M30" s="123"/>
    </row>
    <row r="31" spans="1:13" s="110" customFormat="1" ht="27.75" customHeight="1" hidden="1">
      <c r="A31" s="124">
        <f t="shared" si="3"/>
        <v>3</v>
      </c>
      <c r="B31" s="123"/>
      <c r="C31" s="125"/>
      <c r="D31" s="125"/>
      <c r="E31" s="125"/>
      <c r="F31" s="125"/>
      <c r="G31" s="125"/>
      <c r="H31" s="125"/>
      <c r="I31" s="125"/>
      <c r="J31" s="125"/>
      <c r="K31" s="125"/>
      <c r="L31" s="123"/>
      <c r="M31" s="123"/>
    </row>
    <row r="32" spans="1:13" s="110" customFormat="1" ht="27.75" customHeight="1" hidden="1">
      <c r="A32" s="124">
        <f t="shared" si="3"/>
        <v>4</v>
      </c>
      <c r="B32" s="123"/>
      <c r="C32" s="125"/>
      <c r="D32" s="125"/>
      <c r="E32" s="125"/>
      <c r="F32" s="125"/>
      <c r="G32" s="125"/>
      <c r="H32" s="125"/>
      <c r="I32" s="125"/>
      <c r="J32" s="125"/>
      <c r="K32" s="125"/>
      <c r="L32" s="123"/>
      <c r="M32" s="123"/>
    </row>
    <row r="33" spans="1:13" s="110" customFormat="1" ht="27.75" customHeight="1" hidden="1">
      <c r="A33" s="124">
        <f t="shared" si="3"/>
        <v>5</v>
      </c>
      <c r="B33" s="123"/>
      <c r="C33" s="125"/>
      <c r="D33" s="125"/>
      <c r="E33" s="125"/>
      <c r="F33" s="125"/>
      <c r="G33" s="125"/>
      <c r="H33" s="125"/>
      <c r="I33" s="125"/>
      <c r="J33" s="125"/>
      <c r="K33" s="125"/>
      <c r="L33" s="123"/>
      <c r="M33" s="123"/>
    </row>
    <row r="34" spans="1:13" s="110" customFormat="1" ht="27.75" customHeight="1" hidden="1">
      <c r="A34" s="124">
        <f t="shared" si="3"/>
        <v>6</v>
      </c>
      <c r="B34" s="123"/>
      <c r="C34" s="125"/>
      <c r="D34" s="125"/>
      <c r="E34" s="125"/>
      <c r="F34" s="125"/>
      <c r="G34" s="125"/>
      <c r="H34" s="125"/>
      <c r="I34" s="125"/>
      <c r="J34" s="125"/>
      <c r="K34" s="125"/>
      <c r="L34" s="123"/>
      <c r="M34" s="123"/>
    </row>
    <row r="35" spans="1:13" s="110" customFormat="1" ht="27.75" customHeight="1" hidden="1">
      <c r="A35" s="124">
        <f t="shared" si="3"/>
        <v>7</v>
      </c>
      <c r="B35" s="123"/>
      <c r="C35" s="125"/>
      <c r="D35" s="125"/>
      <c r="E35" s="125"/>
      <c r="F35" s="125"/>
      <c r="G35" s="125"/>
      <c r="H35" s="125"/>
      <c r="I35" s="125"/>
      <c r="J35" s="125"/>
      <c r="K35" s="125"/>
      <c r="L35" s="123"/>
      <c r="M35" s="123"/>
    </row>
    <row r="36" spans="1:13" s="110" customFormat="1" ht="27.75" customHeight="1" hidden="1">
      <c r="A36" s="124" t="e">
        <f>#REF!+1</f>
        <v>#REF!</v>
      </c>
      <c r="B36" s="123"/>
      <c r="C36" s="125"/>
      <c r="D36" s="125"/>
      <c r="E36" s="125"/>
      <c r="F36" s="125"/>
      <c r="G36" s="125"/>
      <c r="H36" s="125"/>
      <c r="I36" s="125"/>
      <c r="J36" s="125"/>
      <c r="K36" s="125"/>
      <c r="L36" s="123"/>
      <c r="M36" s="123"/>
    </row>
    <row r="37" spans="1:13" s="110" customFormat="1" ht="27.75" customHeight="1" hidden="1">
      <c r="A37" s="124" t="e">
        <f>A36+1</f>
        <v>#REF!</v>
      </c>
      <c r="B37" s="123"/>
      <c r="C37" s="125"/>
      <c r="D37" s="125"/>
      <c r="E37" s="125"/>
      <c r="F37" s="125"/>
      <c r="G37" s="125"/>
      <c r="H37" s="125"/>
      <c r="I37" s="125"/>
      <c r="J37" s="125"/>
      <c r="K37" s="125"/>
      <c r="L37" s="123"/>
      <c r="M37" s="123"/>
    </row>
    <row r="38" spans="1:13" s="110" customFormat="1" ht="27.75" customHeight="1" hidden="1">
      <c r="A38" s="124" t="e">
        <f>A37+1</f>
        <v>#REF!</v>
      </c>
      <c r="B38" s="123"/>
      <c r="C38" s="125"/>
      <c r="D38" s="125"/>
      <c r="E38" s="125"/>
      <c r="F38" s="125"/>
      <c r="G38" s="125"/>
      <c r="H38" s="125"/>
      <c r="I38" s="125"/>
      <c r="J38" s="125"/>
      <c r="K38" s="125"/>
      <c r="L38" s="123"/>
      <c r="M38" s="123"/>
    </row>
    <row r="39" spans="1:13" s="110" customFormat="1" ht="27.75" customHeight="1" hidden="1">
      <c r="A39" s="124" t="e">
        <f>A38+1</f>
        <v>#REF!</v>
      </c>
      <c r="B39" s="123"/>
      <c r="C39" s="125"/>
      <c r="D39" s="125"/>
      <c r="E39" s="125"/>
      <c r="F39" s="125"/>
      <c r="G39" s="125"/>
      <c r="H39" s="125"/>
      <c r="I39" s="125"/>
      <c r="J39" s="125"/>
      <c r="K39" s="125"/>
      <c r="L39" s="123"/>
      <c r="M39" s="123"/>
    </row>
    <row r="40" spans="1:13" s="110" customFormat="1" ht="27.75" customHeight="1" hidden="1">
      <c r="A40" s="124" t="e">
        <f>#REF!+1</f>
        <v>#REF!</v>
      </c>
      <c r="B40" s="123"/>
      <c r="C40" s="125"/>
      <c r="D40" s="125"/>
      <c r="E40" s="125"/>
      <c r="F40" s="125"/>
      <c r="G40" s="125"/>
      <c r="H40" s="125"/>
      <c r="I40" s="125"/>
      <c r="J40" s="125"/>
      <c r="K40" s="125"/>
      <c r="L40" s="123"/>
      <c r="M40" s="123"/>
    </row>
    <row r="41" spans="1:13" s="110" customFormat="1" ht="27.75" customHeight="1" hidden="1">
      <c r="A41" s="124" t="e">
        <f>A40+1</f>
        <v>#REF!</v>
      </c>
      <c r="B41" s="123"/>
      <c r="C41" s="125"/>
      <c r="D41" s="125"/>
      <c r="E41" s="125"/>
      <c r="F41" s="125"/>
      <c r="G41" s="125"/>
      <c r="H41" s="125"/>
      <c r="I41" s="125"/>
      <c r="J41" s="125"/>
      <c r="K41" s="125"/>
      <c r="L41" s="123"/>
      <c r="M41" s="123"/>
    </row>
    <row r="42" spans="1:13" ht="15.75" customHeight="1">
      <c r="A42" s="123"/>
      <c r="B42" s="123"/>
      <c r="C42" s="123"/>
      <c r="D42" s="123"/>
      <c r="E42" s="123"/>
      <c r="F42" s="123"/>
      <c r="G42" s="123"/>
      <c r="H42" s="123"/>
      <c r="I42" s="123"/>
      <c r="J42" s="123"/>
      <c r="K42" s="123"/>
      <c r="L42" s="126"/>
      <c r="M42" s="126"/>
    </row>
    <row r="43" spans="1:13" ht="22.5" customHeight="1">
      <c r="A43" s="127"/>
      <c r="B43" s="128"/>
      <c r="C43" s="123"/>
      <c r="D43" s="123"/>
      <c r="E43" s="123"/>
      <c r="F43" s="123"/>
      <c r="G43" s="123"/>
      <c r="H43" s="123"/>
      <c r="I43" s="123"/>
      <c r="J43" s="123"/>
      <c r="K43" s="123"/>
      <c r="L43" s="126"/>
      <c r="M43" s="126"/>
    </row>
    <row r="44" spans="1:13" ht="18.75">
      <c r="A44" s="123"/>
      <c r="B44" s="123"/>
      <c r="C44" s="123"/>
      <c r="D44" s="123"/>
      <c r="E44" s="123"/>
      <c r="F44" s="123"/>
      <c r="G44" s="123"/>
      <c r="H44" s="123"/>
      <c r="I44" s="123"/>
      <c r="J44" s="123"/>
      <c r="K44" s="123"/>
      <c r="L44" s="126"/>
      <c r="M44" s="126"/>
    </row>
    <row r="45" spans="1:13" ht="18.75">
      <c r="A45" s="123"/>
      <c r="B45" s="123"/>
      <c r="C45" s="123"/>
      <c r="D45" s="123"/>
      <c r="E45" s="123"/>
      <c r="F45" s="123"/>
      <c r="G45" s="123"/>
      <c r="H45" s="123"/>
      <c r="I45" s="123"/>
      <c r="J45" s="123"/>
      <c r="K45" s="123"/>
      <c r="L45" s="126"/>
      <c r="M45" s="126"/>
    </row>
    <row r="46" spans="1:13" ht="18.75">
      <c r="A46" s="123"/>
      <c r="B46" s="123"/>
      <c r="C46" s="123"/>
      <c r="D46" s="123"/>
      <c r="E46" s="123"/>
      <c r="F46" s="123"/>
      <c r="G46" s="123"/>
      <c r="H46" s="123"/>
      <c r="I46" s="123"/>
      <c r="J46" s="123"/>
      <c r="K46" s="123"/>
      <c r="L46" s="126"/>
      <c r="M46" s="126"/>
    </row>
    <row r="47" spans="1:13" ht="18.75">
      <c r="A47" s="127"/>
      <c r="B47" s="123"/>
      <c r="C47" s="123"/>
      <c r="D47" s="123"/>
      <c r="E47" s="123"/>
      <c r="F47" s="123"/>
      <c r="G47" s="123"/>
      <c r="H47" s="123"/>
      <c r="I47" s="123"/>
      <c r="J47" s="123"/>
      <c r="K47" s="123"/>
      <c r="L47" s="126"/>
      <c r="M47" s="126"/>
    </row>
    <row r="48" spans="1:13" ht="18.75">
      <c r="A48" s="123"/>
      <c r="B48" s="123"/>
      <c r="C48" s="123"/>
      <c r="D48" s="123"/>
      <c r="E48" s="123"/>
      <c r="F48" s="123"/>
      <c r="G48" s="123"/>
      <c r="H48" s="123"/>
      <c r="I48" s="123"/>
      <c r="J48" s="123"/>
      <c r="K48" s="123"/>
      <c r="L48" s="126"/>
      <c r="M48" s="126"/>
    </row>
    <row r="49" spans="1:13" ht="18.75">
      <c r="A49" s="123"/>
      <c r="B49" s="123"/>
      <c r="C49" s="123"/>
      <c r="D49" s="123"/>
      <c r="E49" s="123"/>
      <c r="F49" s="123"/>
      <c r="G49" s="123"/>
      <c r="H49" s="123"/>
      <c r="I49" s="123"/>
      <c r="J49" s="123"/>
      <c r="K49" s="123"/>
      <c r="L49" s="126"/>
      <c r="M49" s="126"/>
    </row>
    <row r="50" spans="1:13" ht="18.75">
      <c r="A50" s="123"/>
      <c r="B50" s="123"/>
      <c r="C50" s="123"/>
      <c r="D50" s="123"/>
      <c r="E50" s="123"/>
      <c r="F50" s="123"/>
      <c r="G50" s="123"/>
      <c r="H50" s="123"/>
      <c r="I50" s="123"/>
      <c r="J50" s="123"/>
      <c r="K50" s="123"/>
      <c r="L50" s="126"/>
      <c r="M50" s="126"/>
    </row>
    <row r="51" spans="1:13" ht="18.75">
      <c r="A51" s="123"/>
      <c r="B51" s="123"/>
      <c r="C51" s="123"/>
      <c r="D51" s="123"/>
      <c r="E51" s="123"/>
      <c r="F51" s="123"/>
      <c r="G51" s="123"/>
      <c r="H51" s="123"/>
      <c r="I51" s="123"/>
      <c r="J51" s="123"/>
      <c r="K51" s="123"/>
      <c r="L51" s="126"/>
      <c r="M51" s="126"/>
    </row>
    <row r="52" spans="1:13" ht="18.75">
      <c r="A52" s="123"/>
      <c r="B52" s="123"/>
      <c r="C52" s="123"/>
      <c r="D52" s="123"/>
      <c r="E52" s="123"/>
      <c r="F52" s="123"/>
      <c r="G52" s="123"/>
      <c r="H52" s="123"/>
      <c r="I52" s="123"/>
      <c r="J52" s="123"/>
      <c r="K52" s="123"/>
      <c r="L52" s="126"/>
      <c r="M52" s="126"/>
    </row>
    <row r="53" spans="1:13" ht="18.75">
      <c r="A53" s="123"/>
      <c r="B53" s="123"/>
      <c r="C53" s="123"/>
      <c r="D53" s="123"/>
      <c r="E53" s="123"/>
      <c r="F53" s="123"/>
      <c r="G53" s="123"/>
      <c r="H53" s="123"/>
      <c r="I53" s="123"/>
      <c r="J53" s="123"/>
      <c r="K53" s="123"/>
      <c r="L53" s="126"/>
      <c r="M53" s="126"/>
    </row>
    <row r="54" spans="1:13" ht="22.5" customHeight="1">
      <c r="A54" s="123"/>
      <c r="B54" s="123"/>
      <c r="C54" s="123"/>
      <c r="D54" s="123"/>
      <c r="E54" s="123"/>
      <c r="F54" s="123"/>
      <c r="G54" s="123"/>
      <c r="H54" s="123"/>
      <c r="I54" s="123"/>
      <c r="J54" s="123"/>
      <c r="K54" s="123"/>
      <c r="L54" s="126"/>
      <c r="M54" s="126"/>
    </row>
    <row r="55" spans="1:13" ht="18.75">
      <c r="A55" s="123"/>
      <c r="B55" s="123"/>
      <c r="C55" s="123"/>
      <c r="D55" s="123"/>
      <c r="E55" s="123"/>
      <c r="F55" s="123"/>
      <c r="G55" s="123"/>
      <c r="H55" s="123"/>
      <c r="I55" s="123"/>
      <c r="J55" s="123"/>
      <c r="K55" s="123"/>
      <c r="L55" s="126"/>
      <c r="M55" s="126"/>
    </row>
    <row r="56" spans="1:13" ht="18.75">
      <c r="A56" s="123"/>
      <c r="B56" s="123"/>
      <c r="C56" s="123"/>
      <c r="D56" s="123"/>
      <c r="E56" s="123"/>
      <c r="F56" s="123"/>
      <c r="G56" s="123"/>
      <c r="H56" s="123"/>
      <c r="I56" s="123"/>
      <c r="J56" s="123"/>
      <c r="K56" s="123"/>
      <c r="L56" s="126"/>
      <c r="M56" s="126"/>
    </row>
    <row r="57" spans="1:13" ht="18.75">
      <c r="A57" s="123"/>
      <c r="B57" s="123"/>
      <c r="C57" s="123"/>
      <c r="D57" s="123"/>
      <c r="E57" s="123"/>
      <c r="F57" s="123"/>
      <c r="G57" s="123"/>
      <c r="H57" s="123"/>
      <c r="I57" s="123"/>
      <c r="J57" s="123"/>
      <c r="K57" s="123"/>
      <c r="L57" s="126"/>
      <c r="M57" s="126"/>
    </row>
    <row r="58" spans="1:13" ht="18.75">
      <c r="A58" s="123"/>
      <c r="B58" s="123"/>
      <c r="C58" s="123"/>
      <c r="D58" s="123"/>
      <c r="E58" s="123"/>
      <c r="F58" s="123"/>
      <c r="G58" s="123"/>
      <c r="H58" s="123"/>
      <c r="I58" s="123"/>
      <c r="J58" s="123"/>
      <c r="K58" s="123"/>
      <c r="L58" s="126"/>
      <c r="M58" s="126"/>
    </row>
    <row r="59" spans="1:13" ht="15.75">
      <c r="A59" s="126"/>
      <c r="B59" s="126"/>
      <c r="C59" s="126"/>
      <c r="D59" s="126"/>
      <c r="E59" s="126"/>
      <c r="F59" s="126"/>
      <c r="G59" s="126"/>
      <c r="H59" s="126"/>
      <c r="I59" s="126"/>
      <c r="J59" s="126"/>
      <c r="K59" s="126"/>
      <c r="L59" s="126"/>
      <c r="M59" s="126"/>
    </row>
    <row r="60" spans="1:13" ht="15.75">
      <c r="A60" s="126"/>
      <c r="B60" s="126"/>
      <c r="C60" s="126"/>
      <c r="D60" s="126"/>
      <c r="E60" s="126"/>
      <c r="F60" s="126"/>
      <c r="G60" s="126"/>
      <c r="H60" s="126"/>
      <c r="I60" s="126"/>
      <c r="J60" s="126"/>
      <c r="K60" s="126"/>
      <c r="L60" s="126"/>
      <c r="M60" s="126"/>
    </row>
    <row r="61" spans="1:13" ht="15.75">
      <c r="A61" s="126"/>
      <c r="B61" s="126"/>
      <c r="C61" s="126"/>
      <c r="D61" s="126"/>
      <c r="E61" s="126"/>
      <c r="F61" s="126"/>
      <c r="G61" s="126"/>
      <c r="H61" s="126"/>
      <c r="I61" s="126"/>
      <c r="J61" s="126"/>
      <c r="K61" s="126"/>
      <c r="L61" s="126"/>
      <c r="M61" s="126"/>
    </row>
    <row r="62" spans="1:13" ht="15.75">
      <c r="A62" s="126"/>
      <c r="B62" s="126"/>
      <c r="C62" s="126"/>
      <c r="D62" s="126"/>
      <c r="E62" s="126"/>
      <c r="F62" s="126"/>
      <c r="G62" s="126"/>
      <c r="H62" s="126"/>
      <c r="I62" s="126"/>
      <c r="J62" s="126"/>
      <c r="K62" s="126"/>
      <c r="L62" s="126"/>
      <c r="M62" s="126"/>
    </row>
    <row r="63" spans="1:13" ht="15.75">
      <c r="A63" s="126"/>
      <c r="B63" s="126"/>
      <c r="C63" s="126"/>
      <c r="D63" s="126"/>
      <c r="E63" s="126"/>
      <c r="F63" s="126"/>
      <c r="G63" s="126"/>
      <c r="H63" s="126"/>
      <c r="I63" s="126"/>
      <c r="J63" s="126"/>
      <c r="K63" s="126"/>
      <c r="L63" s="126"/>
      <c r="M63" s="126"/>
    </row>
    <row r="64" spans="1:13" ht="15.75">
      <c r="A64" s="126"/>
      <c r="B64" s="126"/>
      <c r="C64" s="126"/>
      <c r="D64" s="126"/>
      <c r="E64" s="126"/>
      <c r="F64" s="126"/>
      <c r="G64" s="126"/>
      <c r="H64" s="126"/>
      <c r="I64" s="126"/>
      <c r="J64" s="126"/>
      <c r="K64" s="126"/>
      <c r="L64" s="126"/>
      <c r="M64" s="126"/>
    </row>
    <row r="65" spans="1:13" ht="15.75">
      <c r="A65" s="126"/>
      <c r="B65" s="126"/>
      <c r="C65" s="126"/>
      <c r="D65" s="126"/>
      <c r="E65" s="126"/>
      <c r="F65" s="126"/>
      <c r="G65" s="126"/>
      <c r="H65" s="126"/>
      <c r="I65" s="126"/>
      <c r="J65" s="126"/>
      <c r="K65" s="126"/>
      <c r="L65" s="126"/>
      <c r="M65" s="126"/>
    </row>
    <row r="66" spans="1:13" ht="15.75">
      <c r="A66" s="126"/>
      <c r="B66" s="126"/>
      <c r="C66" s="126"/>
      <c r="D66" s="126"/>
      <c r="E66" s="126"/>
      <c r="F66" s="126"/>
      <c r="G66" s="126"/>
      <c r="H66" s="126"/>
      <c r="I66" s="126"/>
      <c r="J66" s="126"/>
      <c r="K66" s="126"/>
      <c r="L66" s="126"/>
      <c r="M66" s="126"/>
    </row>
    <row r="67" spans="1:13" ht="15.75">
      <c r="A67" s="126"/>
      <c r="B67" s="126"/>
      <c r="C67" s="126"/>
      <c r="D67" s="126"/>
      <c r="E67" s="126"/>
      <c r="F67" s="126"/>
      <c r="G67" s="126"/>
      <c r="H67" s="126"/>
      <c r="I67" s="126"/>
      <c r="J67" s="126"/>
      <c r="K67" s="126"/>
      <c r="L67" s="126"/>
      <c r="M67" s="126"/>
    </row>
  </sheetData>
  <sheetProtection/>
  <mergeCells count="16">
    <mergeCell ref="J8:J12"/>
    <mergeCell ref="K8:K12"/>
    <mergeCell ref="E9:E12"/>
    <mergeCell ref="F9:G9"/>
    <mergeCell ref="F10:F12"/>
    <mergeCell ref="G10:G12"/>
    <mergeCell ref="G1:K1"/>
    <mergeCell ref="A3:K4"/>
    <mergeCell ref="A5:K5"/>
    <mergeCell ref="A8:A12"/>
    <mergeCell ref="B8:B12"/>
    <mergeCell ref="C8:C12"/>
    <mergeCell ref="D8:D12"/>
    <mergeCell ref="E8:G8"/>
    <mergeCell ref="H8:H12"/>
    <mergeCell ref="I8:I12"/>
  </mergeCells>
  <printOptions horizontalCentered="1"/>
  <pageMargins left="0.31" right="0.39" top="0.36" bottom="0.17" header="0.17" footer="0.26"/>
  <pageSetup fitToHeight="5" fitToWidth="1" horizontalDpi="600" verticalDpi="600" orientation="portrait" paperSize="9" scale="73" r:id="rId1"/>
  <headerFooter alignWithMargins="0">
    <oddFooter>&amp;C&amp;".VnTime,Italic"&amp;8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V42"/>
  <sheetViews>
    <sheetView zoomScale="85" zoomScaleNormal="85" zoomScalePageLayoutView="0" workbookViewId="0" topLeftCell="A14">
      <selection activeCell="F22" sqref="F22"/>
    </sheetView>
  </sheetViews>
  <sheetFormatPr defaultColWidth="7.8984375" defaultRowHeight="15"/>
  <cols>
    <col min="1" max="1" width="5.09765625" style="5" customWidth="1"/>
    <col min="2" max="2" width="25.59765625" style="5" customWidth="1"/>
    <col min="3" max="3" width="11.59765625" style="79" customWidth="1"/>
    <col min="4" max="4" width="12.19921875" style="79" customWidth="1"/>
    <col min="5" max="5" width="8.19921875" style="5" customWidth="1"/>
    <col min="6" max="6" width="7.69921875" style="5" customWidth="1"/>
    <col min="7" max="7" width="7" style="5" customWidth="1"/>
    <col min="8" max="8" width="7.8984375" style="5" customWidth="1"/>
    <col min="9" max="9" width="7.3984375" style="5" customWidth="1"/>
    <col min="10" max="10" width="7.8984375" style="5" customWidth="1"/>
    <col min="11" max="11" width="11.09765625" style="5" customWidth="1"/>
    <col min="12" max="12" width="11.59765625" style="5" customWidth="1"/>
    <col min="13" max="14" width="7" style="5" customWidth="1"/>
    <col min="15" max="15" width="9.09765625" style="5" customWidth="1"/>
    <col min="16" max="16" width="8.3984375" style="5" customWidth="1"/>
    <col min="17" max="17" width="10" style="79" customWidth="1"/>
    <col min="18" max="19" width="8.8984375" style="5" customWidth="1"/>
    <col min="20" max="20" width="10" style="5" customWidth="1"/>
    <col min="21" max="21" width="8.8984375" style="79" customWidth="1"/>
    <col min="22" max="22" width="15.8984375" style="5" customWidth="1"/>
    <col min="23" max="16384" width="7.8984375" style="5" customWidth="1"/>
  </cols>
  <sheetData>
    <row r="1" spans="1:21" ht="21" customHeight="1">
      <c r="A1" s="2"/>
      <c r="B1" s="2"/>
      <c r="C1" s="2"/>
      <c r="D1" s="2"/>
      <c r="E1" s="4"/>
      <c r="F1" s="54"/>
      <c r="G1" s="54"/>
      <c r="H1" s="54"/>
      <c r="I1" s="4"/>
      <c r="J1" s="4"/>
      <c r="K1" s="4"/>
      <c r="L1" s="4"/>
      <c r="M1" s="54"/>
      <c r="N1" s="52"/>
      <c r="O1" s="4"/>
      <c r="P1" s="52"/>
      <c r="Q1" s="572" t="s">
        <v>133</v>
      </c>
      <c r="R1" s="572"/>
      <c r="S1" s="572"/>
      <c r="T1" s="572"/>
      <c r="U1" s="572"/>
    </row>
    <row r="2" spans="1:21" ht="12.75" customHeight="1" hidden="1">
      <c r="A2" s="53"/>
      <c r="B2" s="53"/>
      <c r="C2" s="2"/>
      <c r="D2" s="2"/>
      <c r="E2" s="4"/>
      <c r="F2" s="4"/>
      <c r="G2" s="4"/>
      <c r="H2" s="4"/>
      <c r="I2" s="4"/>
      <c r="J2" s="4"/>
      <c r="K2" s="4"/>
      <c r="L2" s="4"/>
      <c r="M2" s="4"/>
      <c r="N2" s="4"/>
      <c r="O2" s="4"/>
      <c r="P2" s="4"/>
      <c r="Q2" s="2"/>
      <c r="R2" s="4"/>
      <c r="S2" s="4"/>
      <c r="T2" s="4"/>
      <c r="U2" s="2"/>
    </row>
    <row r="3" spans="1:21" ht="21" customHeight="1">
      <c r="A3" s="573" t="s">
        <v>563</v>
      </c>
      <c r="B3" s="573"/>
      <c r="C3" s="573"/>
      <c r="D3" s="573"/>
      <c r="E3" s="573"/>
      <c r="F3" s="573"/>
      <c r="G3" s="573"/>
      <c r="H3" s="573"/>
      <c r="I3" s="573"/>
      <c r="J3" s="573"/>
      <c r="K3" s="573"/>
      <c r="L3" s="573"/>
      <c r="M3" s="573"/>
      <c r="N3" s="573"/>
      <c r="O3" s="573"/>
      <c r="P3" s="573"/>
      <c r="Q3" s="573"/>
      <c r="R3" s="573"/>
      <c r="S3" s="573"/>
      <c r="T3" s="573"/>
      <c r="U3" s="573"/>
    </row>
    <row r="4" spans="1:21" ht="21" customHeight="1">
      <c r="A4" s="568" t="str">
        <f>'Biểu 15-NQ'!A4:G4</f>
        <v>(Kèm theo Nghị quyết số   96 /NQ-HĐND ngày  07  tháng 12 năm 2018 của HĐND tỉnh Điện Biên)</v>
      </c>
      <c r="B4" s="568"/>
      <c r="C4" s="568"/>
      <c r="D4" s="568"/>
      <c r="E4" s="568"/>
      <c r="F4" s="568"/>
      <c r="G4" s="568"/>
      <c r="H4" s="568"/>
      <c r="I4" s="568"/>
      <c r="J4" s="568"/>
      <c r="K4" s="568"/>
      <c r="L4" s="568"/>
      <c r="M4" s="568"/>
      <c r="N4" s="568"/>
      <c r="O4" s="568"/>
      <c r="P4" s="568"/>
      <c r="Q4" s="568"/>
      <c r="R4" s="568"/>
      <c r="S4" s="568"/>
      <c r="T4" s="568"/>
      <c r="U4" s="568"/>
    </row>
    <row r="5" spans="1:21" ht="19.5" customHeight="1">
      <c r="A5" s="10"/>
      <c r="B5" s="10"/>
      <c r="C5" s="24"/>
      <c r="D5" s="24"/>
      <c r="E5" s="12"/>
      <c r="F5" s="98"/>
      <c r="G5" s="666"/>
      <c r="H5" s="666"/>
      <c r="I5" s="666"/>
      <c r="J5" s="98"/>
      <c r="K5" s="666"/>
      <c r="L5" s="666"/>
      <c r="M5" s="666"/>
      <c r="N5" s="98"/>
      <c r="O5" s="12"/>
      <c r="P5" s="574" t="s">
        <v>17</v>
      </c>
      <c r="Q5" s="574"/>
      <c r="R5" s="574"/>
      <c r="S5" s="574"/>
      <c r="T5" s="574"/>
      <c r="U5" s="574"/>
    </row>
    <row r="6" spans="1:21" s="16" customFormat="1" ht="20.25" customHeight="1">
      <c r="A6" s="577" t="s">
        <v>70</v>
      </c>
      <c r="B6" s="595" t="s">
        <v>53</v>
      </c>
      <c r="C6" s="577" t="s">
        <v>134</v>
      </c>
      <c r="D6" s="595" t="s">
        <v>135</v>
      </c>
      <c r="E6" s="595"/>
      <c r="F6" s="595"/>
      <c r="G6" s="595"/>
      <c r="H6" s="595"/>
      <c r="I6" s="595"/>
      <c r="J6" s="595"/>
      <c r="K6" s="595"/>
      <c r="L6" s="595"/>
      <c r="M6" s="595"/>
      <c r="N6" s="595"/>
      <c r="O6" s="595"/>
      <c r="P6" s="595"/>
      <c r="Q6" s="566" t="s">
        <v>136</v>
      </c>
      <c r="R6" s="566"/>
      <c r="S6" s="566"/>
      <c r="T6" s="566"/>
      <c r="U6" s="566" t="s">
        <v>137</v>
      </c>
    </row>
    <row r="7" spans="1:21" s="16" customFormat="1" ht="20.25" customHeight="1">
      <c r="A7" s="582"/>
      <c r="B7" s="595"/>
      <c r="C7" s="582"/>
      <c r="D7" s="595"/>
      <c r="E7" s="595"/>
      <c r="F7" s="595"/>
      <c r="G7" s="595"/>
      <c r="H7" s="595"/>
      <c r="I7" s="595"/>
      <c r="J7" s="595"/>
      <c r="K7" s="595"/>
      <c r="L7" s="595"/>
      <c r="M7" s="595"/>
      <c r="N7" s="595"/>
      <c r="O7" s="595"/>
      <c r="P7" s="595"/>
      <c r="Q7" s="566"/>
      <c r="R7" s="566"/>
      <c r="S7" s="566"/>
      <c r="T7" s="566"/>
      <c r="U7" s="566"/>
    </row>
    <row r="8" spans="1:21" s="16" customFormat="1" ht="30.75" customHeight="1">
      <c r="A8" s="582"/>
      <c r="B8" s="595"/>
      <c r="C8" s="582"/>
      <c r="D8" s="566" t="s">
        <v>138</v>
      </c>
      <c r="E8" s="595" t="s">
        <v>139</v>
      </c>
      <c r="F8" s="595"/>
      <c r="G8" s="595"/>
      <c r="H8" s="595"/>
      <c r="I8" s="595"/>
      <c r="J8" s="595"/>
      <c r="K8" s="595" t="s">
        <v>87</v>
      </c>
      <c r="L8" s="595"/>
      <c r="M8" s="595"/>
      <c r="N8" s="566" t="s">
        <v>91</v>
      </c>
      <c r="O8" s="566" t="s">
        <v>93</v>
      </c>
      <c r="P8" s="566" t="s">
        <v>140</v>
      </c>
      <c r="Q8" s="566" t="s">
        <v>54</v>
      </c>
      <c r="R8" s="566" t="s">
        <v>141</v>
      </c>
      <c r="S8" s="566" t="s">
        <v>142</v>
      </c>
      <c r="T8" s="566" t="s">
        <v>143</v>
      </c>
      <c r="U8" s="566"/>
    </row>
    <row r="9" spans="1:21" s="16" customFormat="1" ht="30.75" customHeight="1">
      <c r="A9" s="582"/>
      <c r="B9" s="595"/>
      <c r="C9" s="582"/>
      <c r="D9" s="566"/>
      <c r="E9" s="566" t="s">
        <v>54</v>
      </c>
      <c r="F9" s="595" t="s">
        <v>144</v>
      </c>
      <c r="G9" s="595"/>
      <c r="H9" s="577" t="s">
        <v>145</v>
      </c>
      <c r="I9" s="577" t="s">
        <v>146</v>
      </c>
      <c r="J9" s="566" t="s">
        <v>13</v>
      </c>
      <c r="K9" s="566" t="s">
        <v>54</v>
      </c>
      <c r="L9" s="595" t="s">
        <v>144</v>
      </c>
      <c r="M9" s="595"/>
      <c r="N9" s="566"/>
      <c r="O9" s="566"/>
      <c r="P9" s="566"/>
      <c r="Q9" s="566"/>
      <c r="R9" s="566"/>
      <c r="S9" s="566"/>
      <c r="T9" s="566"/>
      <c r="U9" s="566"/>
    </row>
    <row r="10" spans="1:21" s="16" customFormat="1" ht="30.75" customHeight="1">
      <c r="A10" s="582"/>
      <c r="B10" s="595"/>
      <c r="C10" s="582"/>
      <c r="D10" s="566"/>
      <c r="E10" s="566"/>
      <c r="F10" s="665" t="s">
        <v>147</v>
      </c>
      <c r="G10" s="665" t="s">
        <v>148</v>
      </c>
      <c r="H10" s="582"/>
      <c r="I10" s="582"/>
      <c r="J10" s="566"/>
      <c r="K10" s="566"/>
      <c r="L10" s="665" t="s">
        <v>147</v>
      </c>
      <c r="M10" s="665" t="s">
        <v>148</v>
      </c>
      <c r="N10" s="566"/>
      <c r="O10" s="566"/>
      <c r="P10" s="566"/>
      <c r="Q10" s="566"/>
      <c r="R10" s="566"/>
      <c r="S10" s="566"/>
      <c r="T10" s="566"/>
      <c r="U10" s="566"/>
    </row>
    <row r="11" spans="1:21" s="16" customFormat="1" ht="30.75" customHeight="1">
      <c r="A11" s="582"/>
      <c r="B11" s="595"/>
      <c r="C11" s="582"/>
      <c r="D11" s="566"/>
      <c r="E11" s="566"/>
      <c r="F11" s="665"/>
      <c r="G11" s="665"/>
      <c r="H11" s="582"/>
      <c r="I11" s="582"/>
      <c r="J11" s="566"/>
      <c r="K11" s="566"/>
      <c r="L11" s="665"/>
      <c r="M11" s="665"/>
      <c r="N11" s="566"/>
      <c r="O11" s="566"/>
      <c r="P11" s="566"/>
      <c r="Q11" s="566"/>
      <c r="R11" s="566"/>
      <c r="S11" s="566"/>
      <c r="T11" s="566"/>
      <c r="U11" s="566"/>
    </row>
    <row r="12" spans="1:21" s="16" customFormat="1" ht="30.75" customHeight="1">
      <c r="A12" s="582"/>
      <c r="B12" s="595"/>
      <c r="C12" s="582"/>
      <c r="D12" s="566"/>
      <c r="E12" s="566"/>
      <c r="F12" s="665"/>
      <c r="G12" s="665"/>
      <c r="H12" s="582"/>
      <c r="I12" s="582"/>
      <c r="J12" s="566"/>
      <c r="K12" s="566"/>
      <c r="L12" s="665"/>
      <c r="M12" s="665"/>
      <c r="N12" s="566"/>
      <c r="O12" s="566"/>
      <c r="P12" s="566"/>
      <c r="Q12" s="566"/>
      <c r="R12" s="566"/>
      <c r="S12" s="566"/>
      <c r="T12" s="566"/>
      <c r="U12" s="566"/>
    </row>
    <row r="13" spans="1:21" s="16" customFormat="1" ht="30.75" customHeight="1">
      <c r="A13" s="582"/>
      <c r="B13" s="595"/>
      <c r="C13" s="582"/>
      <c r="D13" s="566"/>
      <c r="E13" s="566"/>
      <c r="F13" s="665"/>
      <c r="G13" s="665"/>
      <c r="H13" s="582"/>
      <c r="I13" s="582"/>
      <c r="J13" s="566"/>
      <c r="K13" s="566"/>
      <c r="L13" s="665"/>
      <c r="M13" s="665"/>
      <c r="N13" s="566"/>
      <c r="O13" s="566"/>
      <c r="P13" s="566"/>
      <c r="Q13" s="566"/>
      <c r="R13" s="566"/>
      <c r="S13" s="566"/>
      <c r="T13" s="566"/>
      <c r="U13" s="566"/>
    </row>
    <row r="14" spans="1:21" s="16" customFormat="1" ht="30.75" customHeight="1">
      <c r="A14" s="582"/>
      <c r="B14" s="595"/>
      <c r="C14" s="582"/>
      <c r="D14" s="566"/>
      <c r="E14" s="566"/>
      <c r="F14" s="665"/>
      <c r="G14" s="665"/>
      <c r="H14" s="582"/>
      <c r="I14" s="582"/>
      <c r="J14" s="566"/>
      <c r="K14" s="566"/>
      <c r="L14" s="665"/>
      <c r="M14" s="665"/>
      <c r="N14" s="566"/>
      <c r="O14" s="566"/>
      <c r="P14" s="566"/>
      <c r="Q14" s="566"/>
      <c r="R14" s="566"/>
      <c r="S14" s="566"/>
      <c r="T14" s="566"/>
      <c r="U14" s="566"/>
    </row>
    <row r="15" spans="1:21" s="16" customFormat="1" ht="41.25" customHeight="1">
      <c r="A15" s="582"/>
      <c r="B15" s="595"/>
      <c r="C15" s="582"/>
      <c r="D15" s="566"/>
      <c r="E15" s="566"/>
      <c r="F15" s="665"/>
      <c r="G15" s="665"/>
      <c r="H15" s="582"/>
      <c r="I15" s="582"/>
      <c r="J15" s="566"/>
      <c r="K15" s="566"/>
      <c r="L15" s="665"/>
      <c r="M15" s="665"/>
      <c r="N15" s="566"/>
      <c r="O15" s="566"/>
      <c r="P15" s="566"/>
      <c r="Q15" s="566"/>
      <c r="R15" s="566"/>
      <c r="S15" s="566"/>
      <c r="T15" s="566"/>
      <c r="U15" s="566"/>
    </row>
    <row r="16" spans="1:21" s="16" customFormat="1" ht="30.75" customHeight="1" hidden="1">
      <c r="A16" s="578"/>
      <c r="B16" s="595"/>
      <c r="C16" s="578"/>
      <c r="D16" s="566"/>
      <c r="E16" s="566"/>
      <c r="F16" s="665"/>
      <c r="G16" s="665"/>
      <c r="H16" s="578"/>
      <c r="I16" s="578"/>
      <c r="J16" s="566"/>
      <c r="K16" s="566"/>
      <c r="L16" s="665"/>
      <c r="M16" s="665"/>
      <c r="N16" s="566"/>
      <c r="O16" s="566"/>
      <c r="P16" s="566"/>
      <c r="Q16" s="566"/>
      <c r="R16" s="566"/>
      <c r="S16" s="566"/>
      <c r="T16" s="566"/>
      <c r="U16" s="566"/>
    </row>
    <row r="17" spans="1:21" s="19" customFormat="1" ht="17.25" customHeight="1">
      <c r="A17" s="56" t="s">
        <v>3</v>
      </c>
      <c r="B17" s="56" t="s">
        <v>12</v>
      </c>
      <c r="C17" s="99" t="s">
        <v>149</v>
      </c>
      <c r="D17" s="99" t="s">
        <v>150</v>
      </c>
      <c r="E17" s="100" t="s">
        <v>151</v>
      </c>
      <c r="F17" s="56">
        <v>4</v>
      </c>
      <c r="G17" s="56">
        <f aca="true" t="shared" si="0" ref="G17:P17">F17+1</f>
        <v>5</v>
      </c>
      <c r="H17" s="56">
        <f t="shared" si="0"/>
        <v>6</v>
      </c>
      <c r="I17" s="56">
        <f t="shared" si="0"/>
        <v>7</v>
      </c>
      <c r="J17" s="56">
        <f t="shared" si="0"/>
        <v>8</v>
      </c>
      <c r="K17" s="56">
        <f t="shared" si="0"/>
        <v>9</v>
      </c>
      <c r="L17" s="56">
        <f t="shared" si="0"/>
        <v>10</v>
      </c>
      <c r="M17" s="56">
        <f t="shared" si="0"/>
        <v>11</v>
      </c>
      <c r="N17" s="56">
        <f t="shared" si="0"/>
        <v>12</v>
      </c>
      <c r="O17" s="56">
        <f t="shared" si="0"/>
        <v>13</v>
      </c>
      <c r="P17" s="56">
        <f t="shared" si="0"/>
        <v>14</v>
      </c>
      <c r="Q17" s="99" t="s">
        <v>152</v>
      </c>
      <c r="R17" s="56">
        <v>16</v>
      </c>
      <c r="S17" s="56">
        <f>R17+1</f>
        <v>17</v>
      </c>
      <c r="T17" s="56">
        <f>S17+1</f>
        <v>18</v>
      </c>
      <c r="U17" s="56">
        <f>T17+1</f>
        <v>19</v>
      </c>
    </row>
    <row r="18" spans="1:22" s="24" customFormat="1" ht="25.5" customHeight="1">
      <c r="A18" s="57"/>
      <c r="B18" s="101" t="s">
        <v>2</v>
      </c>
      <c r="C18" s="23">
        <f aca="true" t="shared" si="1" ref="C18:U18">SUM(C19:C28)</f>
        <v>5622890</v>
      </c>
      <c r="D18" s="23">
        <f t="shared" si="1"/>
        <v>4658121</v>
      </c>
      <c r="E18" s="23">
        <f t="shared" si="1"/>
        <v>95712</v>
      </c>
      <c r="F18" s="23">
        <f t="shared" si="1"/>
        <v>0</v>
      </c>
      <c r="G18" s="23">
        <f t="shared" si="1"/>
        <v>0</v>
      </c>
      <c r="H18" s="23">
        <f t="shared" si="1"/>
        <v>19302</v>
      </c>
      <c r="I18" s="23">
        <f t="shared" si="1"/>
        <v>0</v>
      </c>
      <c r="J18" s="23">
        <f t="shared" si="1"/>
        <v>76410</v>
      </c>
      <c r="K18" s="23">
        <f t="shared" si="1"/>
        <v>4474741</v>
      </c>
      <c r="L18" s="562">
        <f t="shared" si="1"/>
        <v>2712890</v>
      </c>
      <c r="M18" s="23">
        <f t="shared" si="1"/>
        <v>2982</v>
      </c>
      <c r="N18" s="23">
        <f t="shared" si="1"/>
        <v>0</v>
      </c>
      <c r="O18" s="23">
        <f t="shared" si="1"/>
        <v>87668</v>
      </c>
      <c r="P18" s="23">
        <f t="shared" si="1"/>
        <v>0</v>
      </c>
      <c r="Q18" s="23">
        <f t="shared" si="1"/>
        <v>964769</v>
      </c>
      <c r="R18" s="23">
        <f t="shared" si="1"/>
        <v>27044</v>
      </c>
      <c r="S18" s="23">
        <f t="shared" si="1"/>
        <v>57667</v>
      </c>
      <c r="T18" s="23">
        <f t="shared" si="1"/>
        <v>880058</v>
      </c>
      <c r="U18" s="23">
        <f t="shared" si="1"/>
        <v>0</v>
      </c>
      <c r="V18" s="24">
        <v>880058</v>
      </c>
    </row>
    <row r="19" spans="1:22" s="12" customFormat="1" ht="25.5" customHeight="1">
      <c r="A19" s="58">
        <v>1</v>
      </c>
      <c r="B19" s="59" t="s">
        <v>56</v>
      </c>
      <c r="C19" s="60">
        <f>D19+Q19+U19</f>
        <v>433448</v>
      </c>
      <c r="D19" s="60">
        <f>E19+K19+N19+O19+P19</f>
        <v>431848</v>
      </c>
      <c r="E19" s="60">
        <f>H19+I19+J19</f>
        <v>38900</v>
      </c>
      <c r="F19" s="60"/>
      <c r="G19" s="60"/>
      <c r="H19" s="60">
        <v>14240</v>
      </c>
      <c r="I19" s="60"/>
      <c r="J19" s="60">
        <v>24660</v>
      </c>
      <c r="K19" s="60">
        <v>384793</v>
      </c>
      <c r="L19" s="60">
        <v>182132</v>
      </c>
      <c r="M19" s="60">
        <v>544</v>
      </c>
      <c r="N19" s="60"/>
      <c r="O19" s="60">
        <v>8155</v>
      </c>
      <c r="P19" s="60"/>
      <c r="Q19" s="60">
        <f aca="true" t="shared" si="2" ref="Q19:Q28">R19+S19+T19</f>
        <v>1600</v>
      </c>
      <c r="R19" s="60"/>
      <c r="S19" s="60">
        <v>228</v>
      </c>
      <c r="T19" s="530">
        <v>1372</v>
      </c>
      <c r="U19" s="60"/>
      <c r="V19" s="60"/>
    </row>
    <row r="20" spans="1:22" s="12" customFormat="1" ht="25.5" customHeight="1">
      <c r="A20" s="58">
        <v>2</v>
      </c>
      <c r="B20" s="59" t="s">
        <v>58</v>
      </c>
      <c r="C20" s="60">
        <f aca="true" t="shared" si="3" ref="C20:C28">D20+Q20+U20</f>
        <v>924537</v>
      </c>
      <c r="D20" s="60">
        <f aca="true" t="shared" si="4" ref="D20:D28">E20+K20+N20+O20+P20</f>
        <v>846174</v>
      </c>
      <c r="E20" s="60">
        <f aca="true" t="shared" si="5" ref="E20:E28">H20+I20+J20</f>
        <v>22500</v>
      </c>
      <c r="F20" s="60"/>
      <c r="G20" s="60"/>
      <c r="H20" s="60"/>
      <c r="I20" s="60"/>
      <c r="J20" s="60">
        <v>22500</v>
      </c>
      <c r="K20" s="60">
        <v>807321</v>
      </c>
      <c r="L20" s="60">
        <v>503283</v>
      </c>
      <c r="M20" s="60">
        <v>545</v>
      </c>
      <c r="N20" s="60"/>
      <c r="O20" s="60">
        <v>16353</v>
      </c>
      <c r="P20" s="60"/>
      <c r="Q20" s="60">
        <f>R20+S20+T20</f>
        <v>78363</v>
      </c>
      <c r="R20" s="60"/>
      <c r="S20" s="60">
        <v>3673</v>
      </c>
      <c r="T20" s="530">
        <f>71527+3163</f>
        <v>74690</v>
      </c>
      <c r="U20" s="60"/>
      <c r="V20" s="60"/>
    </row>
    <row r="21" spans="1:22" s="12" customFormat="1" ht="25.5" customHeight="1">
      <c r="A21" s="58">
        <v>3</v>
      </c>
      <c r="B21" s="59" t="s">
        <v>62</v>
      </c>
      <c r="C21" s="60">
        <f t="shared" si="3"/>
        <v>751053</v>
      </c>
      <c r="D21" s="60">
        <f t="shared" si="4"/>
        <v>616932</v>
      </c>
      <c r="E21" s="60">
        <f t="shared" si="5"/>
        <v>13500</v>
      </c>
      <c r="F21" s="60"/>
      <c r="G21" s="60"/>
      <c r="H21" s="60"/>
      <c r="I21" s="60"/>
      <c r="J21" s="60">
        <v>13500</v>
      </c>
      <c r="K21" s="60">
        <v>591537</v>
      </c>
      <c r="L21" s="60">
        <v>375168</v>
      </c>
      <c r="M21" s="60">
        <v>544</v>
      </c>
      <c r="N21" s="60"/>
      <c r="O21" s="60">
        <v>11895</v>
      </c>
      <c r="P21" s="60"/>
      <c r="Q21" s="60">
        <f t="shared" si="2"/>
        <v>134121</v>
      </c>
      <c r="R21" s="60">
        <v>482</v>
      </c>
      <c r="S21" s="60">
        <v>12672</v>
      </c>
      <c r="T21" s="530">
        <f>122096-1129</f>
        <v>120967</v>
      </c>
      <c r="U21" s="60"/>
      <c r="V21" s="60"/>
    </row>
    <row r="22" spans="1:22" s="12" customFormat="1" ht="25.5" customHeight="1">
      <c r="A22" s="58">
        <v>4</v>
      </c>
      <c r="B22" s="59" t="s">
        <v>61</v>
      </c>
      <c r="C22" s="60">
        <f t="shared" si="3"/>
        <v>482660</v>
      </c>
      <c r="D22" s="60">
        <f t="shared" si="4"/>
        <v>361527</v>
      </c>
      <c r="E22" s="60">
        <f t="shared" si="5"/>
        <v>5400</v>
      </c>
      <c r="F22" s="60"/>
      <c r="G22" s="60"/>
      <c r="H22" s="60"/>
      <c r="I22" s="60"/>
      <c r="J22" s="60">
        <v>5400</v>
      </c>
      <c r="K22" s="60">
        <v>349478</v>
      </c>
      <c r="L22" s="60">
        <v>191933</v>
      </c>
      <c r="M22" s="60">
        <v>193</v>
      </c>
      <c r="N22" s="60"/>
      <c r="O22" s="60">
        <v>6649</v>
      </c>
      <c r="P22" s="60"/>
      <c r="Q22" s="60">
        <f t="shared" si="2"/>
        <v>121133</v>
      </c>
      <c r="R22" s="60"/>
      <c r="S22" s="60">
        <v>4590</v>
      </c>
      <c r="T22" s="530">
        <f>116959-416</f>
        <v>116543</v>
      </c>
      <c r="U22" s="60"/>
      <c r="V22" s="60"/>
    </row>
    <row r="23" spans="1:22" s="12" customFormat="1" ht="25.5" customHeight="1">
      <c r="A23" s="58">
        <v>5</v>
      </c>
      <c r="B23" s="59" t="s">
        <v>63</v>
      </c>
      <c r="C23" s="60">
        <f t="shared" si="3"/>
        <v>538796</v>
      </c>
      <c r="D23" s="60">
        <f t="shared" si="4"/>
        <v>392869</v>
      </c>
      <c r="E23" s="60">
        <f t="shared" si="5"/>
        <v>900</v>
      </c>
      <c r="F23" s="60"/>
      <c r="G23" s="60"/>
      <c r="H23" s="60"/>
      <c r="I23" s="60"/>
      <c r="J23" s="60">
        <v>900</v>
      </c>
      <c r="K23" s="60">
        <v>384759</v>
      </c>
      <c r="L23" s="60">
        <v>234926</v>
      </c>
      <c r="M23" s="60">
        <v>193</v>
      </c>
      <c r="N23" s="60"/>
      <c r="O23" s="60">
        <v>7210</v>
      </c>
      <c r="P23" s="60"/>
      <c r="Q23" s="60">
        <f t="shared" si="2"/>
        <v>145927</v>
      </c>
      <c r="R23" s="60">
        <v>13312</v>
      </c>
      <c r="S23" s="60">
        <v>9751</v>
      </c>
      <c r="T23" s="530">
        <f>123393-529</f>
        <v>122864</v>
      </c>
      <c r="U23" s="60"/>
      <c r="V23" s="60"/>
    </row>
    <row r="24" spans="1:22" s="12" customFormat="1" ht="25.5" customHeight="1">
      <c r="A24" s="58">
        <v>6</v>
      </c>
      <c r="B24" s="59" t="s">
        <v>60</v>
      </c>
      <c r="C24" s="60">
        <f t="shared" si="3"/>
        <v>519487</v>
      </c>
      <c r="D24" s="60">
        <f t="shared" si="4"/>
        <v>429177</v>
      </c>
      <c r="E24" s="60">
        <f t="shared" si="5"/>
        <v>1800</v>
      </c>
      <c r="F24" s="60"/>
      <c r="G24" s="60"/>
      <c r="H24" s="60"/>
      <c r="I24" s="60"/>
      <c r="J24" s="60">
        <v>1800</v>
      </c>
      <c r="K24" s="60">
        <f>417503+2000</f>
        <v>419503</v>
      </c>
      <c r="L24" s="60">
        <v>273060</v>
      </c>
      <c r="M24" s="60">
        <v>193</v>
      </c>
      <c r="N24" s="60"/>
      <c r="O24" s="60">
        <v>7874</v>
      </c>
      <c r="P24" s="60"/>
      <c r="Q24" s="60">
        <f t="shared" si="2"/>
        <v>90310</v>
      </c>
      <c r="R24" s="60"/>
      <c r="S24" s="60">
        <v>7157</v>
      </c>
      <c r="T24" s="530">
        <f>83175-22</f>
        <v>83153</v>
      </c>
      <c r="U24" s="60"/>
      <c r="V24" s="60"/>
    </row>
    <row r="25" spans="1:22" s="12" customFormat="1" ht="25.5" customHeight="1">
      <c r="A25" s="58">
        <v>7</v>
      </c>
      <c r="B25" s="59" t="s">
        <v>64</v>
      </c>
      <c r="C25" s="60">
        <f t="shared" si="3"/>
        <v>551656</v>
      </c>
      <c r="D25" s="60">
        <f t="shared" si="4"/>
        <v>444776</v>
      </c>
      <c r="E25" s="60">
        <f t="shared" si="5"/>
        <v>4050</v>
      </c>
      <c r="F25" s="60"/>
      <c r="G25" s="60"/>
      <c r="H25" s="60"/>
      <c r="I25" s="60"/>
      <c r="J25" s="60">
        <v>4050</v>
      </c>
      <c r="K25" s="60">
        <v>432499</v>
      </c>
      <c r="L25" s="60">
        <v>259739</v>
      </c>
      <c r="M25" s="60">
        <v>193</v>
      </c>
      <c r="N25" s="60"/>
      <c r="O25" s="60">
        <v>8227</v>
      </c>
      <c r="P25" s="60"/>
      <c r="Q25" s="60">
        <f t="shared" si="2"/>
        <v>106880</v>
      </c>
      <c r="R25" s="60"/>
      <c r="S25" s="60">
        <v>724</v>
      </c>
      <c r="T25" s="530">
        <f>106744-588</f>
        <v>106156</v>
      </c>
      <c r="U25" s="60"/>
      <c r="V25" s="60"/>
    </row>
    <row r="26" spans="1:22" ht="24.75" customHeight="1">
      <c r="A26" s="58">
        <v>8</v>
      </c>
      <c r="B26" s="59" t="s">
        <v>65</v>
      </c>
      <c r="C26" s="60">
        <f t="shared" si="3"/>
        <v>594251</v>
      </c>
      <c r="D26" s="60">
        <f t="shared" si="4"/>
        <v>469654</v>
      </c>
      <c r="E26" s="60">
        <f t="shared" si="5"/>
        <v>900</v>
      </c>
      <c r="F26" s="59"/>
      <c r="G26" s="59"/>
      <c r="H26" s="59"/>
      <c r="I26" s="59"/>
      <c r="J26" s="59">
        <v>900</v>
      </c>
      <c r="K26" s="60">
        <v>460086</v>
      </c>
      <c r="L26" s="522">
        <v>301909</v>
      </c>
      <c r="M26" s="59">
        <v>193</v>
      </c>
      <c r="N26" s="59"/>
      <c r="O26" s="523">
        <v>8668</v>
      </c>
      <c r="P26" s="60"/>
      <c r="Q26" s="60">
        <f t="shared" si="2"/>
        <v>124597</v>
      </c>
      <c r="R26" s="60"/>
      <c r="S26" s="60">
        <v>659</v>
      </c>
      <c r="T26" s="530">
        <f>124697-759</f>
        <v>123938</v>
      </c>
      <c r="U26" s="59"/>
      <c r="V26" s="59"/>
    </row>
    <row r="27" spans="1:22" s="12" customFormat="1" ht="25.5" customHeight="1">
      <c r="A27" s="58">
        <v>9</v>
      </c>
      <c r="B27" s="59" t="s">
        <v>57</v>
      </c>
      <c r="C27" s="60">
        <f t="shared" si="3"/>
        <v>127174</v>
      </c>
      <c r="D27" s="60">
        <f t="shared" si="4"/>
        <v>125176</v>
      </c>
      <c r="E27" s="60">
        <f t="shared" si="5"/>
        <v>5062</v>
      </c>
      <c r="F27" s="60"/>
      <c r="G27" s="60"/>
      <c r="H27" s="60">
        <v>5062</v>
      </c>
      <c r="I27" s="60"/>
      <c r="J27" s="60"/>
      <c r="K27" s="60">
        <v>117636</v>
      </c>
      <c r="L27" s="60">
        <v>52894</v>
      </c>
      <c r="M27" s="60">
        <v>191</v>
      </c>
      <c r="N27" s="60"/>
      <c r="O27" s="60">
        <v>2478</v>
      </c>
      <c r="P27" s="60"/>
      <c r="Q27" s="60">
        <f t="shared" si="2"/>
        <v>1998</v>
      </c>
      <c r="R27" s="60"/>
      <c r="S27" s="60">
        <v>108</v>
      </c>
      <c r="T27" s="530">
        <f>1090+800</f>
        <v>1890</v>
      </c>
      <c r="U27" s="60"/>
      <c r="V27" s="60"/>
    </row>
    <row r="28" spans="1:22" s="12" customFormat="1" ht="25.5" customHeight="1">
      <c r="A28" s="58">
        <v>10</v>
      </c>
      <c r="B28" s="59" t="s">
        <v>59</v>
      </c>
      <c r="C28" s="60">
        <f t="shared" si="3"/>
        <v>699828</v>
      </c>
      <c r="D28" s="60">
        <f t="shared" si="4"/>
        <v>539988</v>
      </c>
      <c r="E28" s="60">
        <f t="shared" si="5"/>
        <v>2700</v>
      </c>
      <c r="F28" s="60"/>
      <c r="G28" s="60"/>
      <c r="H28" s="60"/>
      <c r="I28" s="60"/>
      <c r="J28" s="60">
        <v>2700</v>
      </c>
      <c r="K28" s="60">
        <v>527129</v>
      </c>
      <c r="L28" s="60">
        <v>337846</v>
      </c>
      <c r="M28" s="60">
        <v>193</v>
      </c>
      <c r="N28" s="60"/>
      <c r="O28" s="60">
        <v>10159</v>
      </c>
      <c r="P28" s="60"/>
      <c r="Q28" s="60">
        <f t="shared" si="2"/>
        <v>159840</v>
      </c>
      <c r="R28" s="60">
        <v>13250</v>
      </c>
      <c r="S28" s="60">
        <v>18105</v>
      </c>
      <c r="T28" s="530">
        <f>129005-520</f>
        <v>128485</v>
      </c>
      <c r="U28" s="60"/>
      <c r="V28" s="60"/>
    </row>
    <row r="29" spans="1:21" ht="18.75">
      <c r="A29" s="46"/>
      <c r="B29" s="46"/>
      <c r="C29" s="102"/>
      <c r="D29" s="102"/>
      <c r="E29" s="46"/>
      <c r="F29" s="46"/>
      <c r="G29" s="46"/>
      <c r="H29" s="46"/>
      <c r="I29" s="46"/>
      <c r="J29" s="46"/>
      <c r="K29" s="46"/>
      <c r="L29" s="46"/>
      <c r="M29" s="46"/>
      <c r="N29" s="46"/>
      <c r="O29" s="46"/>
      <c r="P29" s="46"/>
      <c r="Q29" s="102"/>
      <c r="R29" s="46"/>
      <c r="S29" s="46"/>
      <c r="T29" s="46"/>
      <c r="U29" s="102"/>
    </row>
    <row r="30" spans="1:21" ht="18.75">
      <c r="A30" s="12"/>
      <c r="B30" s="12"/>
      <c r="C30" s="24"/>
      <c r="D30" s="24"/>
      <c r="E30" s="12"/>
      <c r="F30" s="12"/>
      <c r="G30" s="12"/>
      <c r="H30" s="12"/>
      <c r="I30" s="12"/>
      <c r="J30" s="12"/>
      <c r="K30" s="12"/>
      <c r="L30" s="12"/>
      <c r="M30" s="12"/>
      <c r="N30" s="12"/>
      <c r="O30" s="12"/>
      <c r="P30" s="12"/>
      <c r="Q30" s="24"/>
      <c r="R30" s="12"/>
      <c r="S30" s="12"/>
      <c r="T30" s="12"/>
      <c r="U30" s="24"/>
    </row>
    <row r="31" spans="1:21" ht="18.75">
      <c r="A31" s="12"/>
      <c r="B31" s="12"/>
      <c r="C31" s="24"/>
      <c r="D31" s="24"/>
      <c r="E31" s="12"/>
      <c r="F31" s="12"/>
      <c r="G31" s="12"/>
      <c r="H31" s="12"/>
      <c r="I31" s="12"/>
      <c r="J31" s="12"/>
      <c r="K31" s="12"/>
      <c r="L31" s="12"/>
      <c r="M31" s="12"/>
      <c r="N31" s="12"/>
      <c r="O31" s="12"/>
      <c r="P31" s="12"/>
      <c r="Q31" s="24"/>
      <c r="R31" s="12"/>
      <c r="S31" s="12"/>
      <c r="T31" s="12"/>
      <c r="U31" s="24"/>
    </row>
    <row r="32" spans="1:21" ht="18.75">
      <c r="A32" s="12"/>
      <c r="B32" s="12"/>
      <c r="C32" s="24"/>
      <c r="D32" s="24"/>
      <c r="E32" s="12"/>
      <c r="F32" s="12"/>
      <c r="G32" s="12"/>
      <c r="H32" s="12"/>
      <c r="I32" s="12"/>
      <c r="J32" s="12"/>
      <c r="K32" s="12"/>
      <c r="L32" s="12"/>
      <c r="M32" s="12"/>
      <c r="N32" s="12"/>
      <c r="O32" s="12"/>
      <c r="P32" s="12"/>
      <c r="Q32" s="24"/>
      <c r="R32" s="12"/>
      <c r="S32" s="12"/>
      <c r="T32" s="12"/>
      <c r="U32" s="24"/>
    </row>
    <row r="33" spans="1:21" ht="18.75">
      <c r="A33" s="12"/>
      <c r="B33" s="12"/>
      <c r="C33" s="24"/>
      <c r="D33" s="24"/>
      <c r="E33" s="12"/>
      <c r="F33" s="12"/>
      <c r="G33" s="12"/>
      <c r="H33" s="12"/>
      <c r="I33" s="12"/>
      <c r="J33" s="12"/>
      <c r="K33" s="12"/>
      <c r="L33" s="12"/>
      <c r="M33" s="12"/>
      <c r="N33" s="12"/>
      <c r="O33" s="12"/>
      <c r="P33" s="12"/>
      <c r="Q33" s="24"/>
      <c r="R33" s="12"/>
      <c r="S33" s="12"/>
      <c r="T33" s="12"/>
      <c r="U33" s="24"/>
    </row>
    <row r="34" spans="1:21" ht="18.75">
      <c r="A34" s="12"/>
      <c r="B34" s="12"/>
      <c r="C34" s="24"/>
      <c r="D34" s="24"/>
      <c r="E34" s="12"/>
      <c r="F34" s="12"/>
      <c r="G34" s="12"/>
      <c r="H34" s="12"/>
      <c r="I34" s="12"/>
      <c r="J34" s="12"/>
      <c r="K34" s="12"/>
      <c r="L34" s="12"/>
      <c r="M34" s="12"/>
      <c r="N34" s="12"/>
      <c r="O34" s="12"/>
      <c r="P34" s="12"/>
      <c r="Q34" s="24"/>
      <c r="R34" s="12"/>
      <c r="S34" s="12"/>
      <c r="T34" s="12"/>
      <c r="U34" s="24"/>
    </row>
    <row r="35" spans="1:21" ht="18.75">
      <c r="A35" s="12"/>
      <c r="B35" s="12"/>
      <c r="C35" s="24"/>
      <c r="D35" s="24"/>
      <c r="E35" s="12"/>
      <c r="F35" s="12"/>
      <c r="G35" s="12"/>
      <c r="H35" s="12"/>
      <c r="I35" s="12"/>
      <c r="J35" s="12"/>
      <c r="K35" s="12"/>
      <c r="L35" s="12"/>
      <c r="M35" s="12"/>
      <c r="N35" s="12"/>
      <c r="O35" s="12"/>
      <c r="P35" s="12"/>
      <c r="Q35" s="24"/>
      <c r="R35" s="12"/>
      <c r="S35" s="12"/>
      <c r="T35" s="12"/>
      <c r="U35" s="24"/>
    </row>
    <row r="36" spans="1:21" ht="18.75">
      <c r="A36" s="12"/>
      <c r="B36" s="12"/>
      <c r="C36" s="24"/>
      <c r="D36" s="24"/>
      <c r="E36" s="12"/>
      <c r="F36" s="12"/>
      <c r="G36" s="12"/>
      <c r="H36" s="12"/>
      <c r="I36" s="12"/>
      <c r="J36" s="12"/>
      <c r="K36" s="12"/>
      <c r="L36" s="12"/>
      <c r="M36" s="12"/>
      <c r="N36" s="12"/>
      <c r="O36" s="12"/>
      <c r="P36" s="12"/>
      <c r="Q36" s="24"/>
      <c r="R36" s="12"/>
      <c r="S36" s="12"/>
      <c r="T36" s="12"/>
      <c r="U36" s="24"/>
    </row>
    <row r="37" spans="1:21" ht="18.75">
      <c r="A37" s="12"/>
      <c r="B37" s="12"/>
      <c r="C37" s="24"/>
      <c r="D37" s="24"/>
      <c r="E37" s="12"/>
      <c r="F37" s="12"/>
      <c r="G37" s="12"/>
      <c r="H37" s="12"/>
      <c r="I37" s="12"/>
      <c r="J37" s="12"/>
      <c r="K37" s="12"/>
      <c r="L37" s="12"/>
      <c r="M37" s="12"/>
      <c r="N37" s="12"/>
      <c r="O37" s="12"/>
      <c r="P37" s="12"/>
      <c r="Q37" s="24"/>
      <c r="R37" s="12"/>
      <c r="S37" s="12"/>
      <c r="T37" s="12"/>
      <c r="U37" s="24"/>
    </row>
    <row r="38" spans="1:21" ht="22.5" customHeight="1">
      <c r="A38" s="12"/>
      <c r="B38" s="12"/>
      <c r="C38" s="24"/>
      <c r="D38" s="24"/>
      <c r="E38" s="12"/>
      <c r="F38" s="12"/>
      <c r="G38" s="12"/>
      <c r="H38" s="12"/>
      <c r="I38" s="12"/>
      <c r="J38" s="12"/>
      <c r="K38" s="12"/>
      <c r="L38" s="12"/>
      <c r="M38" s="12"/>
      <c r="N38" s="12"/>
      <c r="O38" s="12"/>
      <c r="P38" s="12"/>
      <c r="Q38" s="24"/>
      <c r="R38" s="12"/>
      <c r="S38" s="12"/>
      <c r="T38" s="12"/>
      <c r="U38" s="24"/>
    </row>
    <row r="39" spans="1:21" ht="18.75">
      <c r="A39" s="12"/>
      <c r="B39" s="12"/>
      <c r="C39" s="24"/>
      <c r="D39" s="24"/>
      <c r="E39" s="12"/>
      <c r="F39" s="12"/>
      <c r="G39" s="12"/>
      <c r="H39" s="12"/>
      <c r="I39" s="12"/>
      <c r="J39" s="12"/>
      <c r="K39" s="12"/>
      <c r="L39" s="12"/>
      <c r="M39" s="12"/>
      <c r="N39" s="12"/>
      <c r="O39" s="12"/>
      <c r="P39" s="12"/>
      <c r="Q39" s="24"/>
      <c r="R39" s="12"/>
      <c r="S39" s="12"/>
      <c r="T39" s="12"/>
      <c r="U39" s="24"/>
    </row>
    <row r="40" spans="1:21" ht="18.75">
      <c r="A40" s="12"/>
      <c r="B40" s="12"/>
      <c r="C40" s="24"/>
      <c r="D40" s="24"/>
      <c r="E40" s="12"/>
      <c r="F40" s="12"/>
      <c r="G40" s="12"/>
      <c r="H40" s="12"/>
      <c r="I40" s="12"/>
      <c r="J40" s="12"/>
      <c r="K40" s="12"/>
      <c r="L40" s="12"/>
      <c r="M40" s="12"/>
      <c r="N40" s="12"/>
      <c r="O40" s="12"/>
      <c r="P40" s="12"/>
      <c r="Q40" s="24"/>
      <c r="R40" s="12"/>
      <c r="S40" s="12"/>
      <c r="T40" s="12"/>
      <c r="U40" s="24"/>
    </row>
    <row r="41" spans="1:21" ht="18.75">
      <c r="A41" s="12"/>
      <c r="B41" s="12"/>
      <c r="C41" s="24"/>
      <c r="D41" s="24"/>
      <c r="E41" s="12"/>
      <c r="F41" s="12"/>
      <c r="G41" s="12"/>
      <c r="H41" s="12"/>
      <c r="I41" s="12"/>
      <c r="J41" s="12"/>
      <c r="K41" s="12"/>
      <c r="L41" s="12"/>
      <c r="M41" s="12"/>
      <c r="N41" s="12"/>
      <c r="O41" s="12"/>
      <c r="P41" s="12"/>
      <c r="Q41" s="24"/>
      <c r="R41" s="12"/>
      <c r="S41" s="12"/>
      <c r="T41" s="12"/>
      <c r="U41" s="24"/>
    </row>
    <row r="42" spans="1:21" ht="18.75">
      <c r="A42" s="12"/>
      <c r="B42" s="12"/>
      <c r="C42" s="24"/>
      <c r="D42" s="24"/>
      <c r="E42" s="12"/>
      <c r="F42" s="12"/>
      <c r="G42" s="12"/>
      <c r="H42" s="12"/>
      <c r="I42" s="12"/>
      <c r="J42" s="12"/>
      <c r="K42" s="12"/>
      <c r="L42" s="12"/>
      <c r="M42" s="12"/>
      <c r="N42" s="12"/>
      <c r="O42" s="12"/>
      <c r="P42" s="12"/>
      <c r="Q42" s="24"/>
      <c r="R42" s="12"/>
      <c r="S42" s="12"/>
      <c r="T42" s="12"/>
      <c r="U42" s="24"/>
    </row>
  </sheetData>
  <sheetProtection/>
  <mergeCells count="33">
    <mergeCell ref="U6:U16"/>
    <mergeCell ref="D8:D16"/>
    <mergeCell ref="E8:J8"/>
    <mergeCell ref="K8:M8"/>
    <mergeCell ref="N8:N16"/>
    <mergeCell ref="Q6:T7"/>
    <mergeCell ref="K9:K16"/>
    <mergeCell ref="O8:O16"/>
    <mergeCell ref="P8:P16"/>
    <mergeCell ref="T8:T16"/>
    <mergeCell ref="A6:A16"/>
    <mergeCell ref="B6:B16"/>
    <mergeCell ref="C6:C16"/>
    <mergeCell ref="D6:P7"/>
    <mergeCell ref="J9:J16"/>
    <mergeCell ref="E9:E16"/>
    <mergeCell ref="F9:G9"/>
    <mergeCell ref="H9:H16"/>
    <mergeCell ref="I9:I16"/>
    <mergeCell ref="F10:F16"/>
    <mergeCell ref="Q1:U1"/>
    <mergeCell ref="A3:U3"/>
    <mergeCell ref="A4:U4"/>
    <mergeCell ref="G5:I5"/>
    <mergeCell ref="K5:M5"/>
    <mergeCell ref="P5:U5"/>
    <mergeCell ref="G10:G16"/>
    <mergeCell ref="Q8:Q16"/>
    <mergeCell ref="R8:R16"/>
    <mergeCell ref="S8:S16"/>
    <mergeCell ref="L9:M9"/>
    <mergeCell ref="L10:L16"/>
    <mergeCell ref="M10:M16"/>
  </mergeCells>
  <printOptions horizontalCentered="1"/>
  <pageMargins left="0.31" right="0.23" top="0.34" bottom="0.23" header="0.17" footer="0.17"/>
  <pageSetup fitToHeight="5" fitToWidth="1" horizontalDpi="600" verticalDpi="600" orientation="landscape" paperSize="9" scale="66" r:id="rId1"/>
  <headerFooter alignWithMargins="0">
    <oddFooter>&amp;C&amp;".VnTime,Italic"&amp;8
</oddFooter>
  </headerFooter>
</worksheet>
</file>

<file path=xl/worksheets/sheet14.xml><?xml version="1.0" encoding="utf-8"?>
<worksheet xmlns="http://schemas.openxmlformats.org/spreadsheetml/2006/main" xmlns:r="http://schemas.openxmlformats.org/officeDocument/2006/relationships">
  <dimension ref="A1:H37"/>
  <sheetViews>
    <sheetView view="pageBreakPreview" zoomScale="85" zoomScaleSheetLayoutView="85" zoomScalePageLayoutView="0" workbookViewId="0" topLeftCell="A7">
      <selection activeCell="E15" sqref="E15"/>
    </sheetView>
  </sheetViews>
  <sheetFormatPr defaultColWidth="8.796875" defaultRowHeight="15"/>
  <cols>
    <col min="1" max="1" width="6.8984375" style="212" customWidth="1"/>
    <col min="2" max="2" width="25" style="212" customWidth="1"/>
    <col min="3" max="3" width="13.8984375" style="212" customWidth="1"/>
    <col min="4" max="4" width="15.09765625" style="212" customWidth="1"/>
    <col min="5" max="5" width="14.59765625" style="212" customWidth="1"/>
    <col min="6" max="6" width="15.5" style="212" customWidth="1"/>
    <col min="7" max="16384" width="9" style="212" customWidth="1"/>
  </cols>
  <sheetData>
    <row r="1" spans="1:6" ht="21" customHeight="1">
      <c r="A1" s="217"/>
      <c r="B1" s="217"/>
      <c r="C1" s="218"/>
      <c r="D1" s="667" t="s">
        <v>364</v>
      </c>
      <c r="E1" s="667"/>
      <c r="F1" s="667"/>
    </row>
    <row r="2" spans="1:6" ht="12.75" customHeight="1" hidden="1">
      <c r="A2" s="219"/>
      <c r="B2" s="219"/>
      <c r="C2" s="218"/>
      <c r="D2" s="218"/>
      <c r="E2" s="218"/>
      <c r="F2" s="218"/>
    </row>
    <row r="3" spans="1:6" ht="12.75" customHeight="1">
      <c r="A3" s="219"/>
      <c r="B3" s="219"/>
      <c r="C3" s="218"/>
      <c r="D3" s="218"/>
      <c r="E3" s="218"/>
      <c r="F3" s="218"/>
    </row>
    <row r="4" spans="1:6" ht="21" customHeight="1">
      <c r="A4" s="668" t="s">
        <v>564</v>
      </c>
      <c r="B4" s="668"/>
      <c r="C4" s="668"/>
      <c r="D4" s="668"/>
      <c r="E4" s="668"/>
      <c r="F4" s="668"/>
    </row>
    <row r="5" spans="1:6" ht="21" customHeight="1">
      <c r="A5" s="668"/>
      <c r="B5" s="668"/>
      <c r="C5" s="668"/>
      <c r="D5" s="668"/>
      <c r="E5" s="668"/>
      <c r="F5" s="668"/>
    </row>
    <row r="6" spans="1:6" ht="21" customHeight="1">
      <c r="A6" s="669" t="str">
        <f>'Biểu 15-NQ'!A4:G4</f>
        <v>(Kèm theo Nghị quyết số   96 /NQ-HĐND ngày  07  tháng 12 năm 2018 của HĐND tỉnh Điện Biên)</v>
      </c>
      <c r="B6" s="669"/>
      <c r="C6" s="669"/>
      <c r="D6" s="669"/>
      <c r="E6" s="669"/>
      <c r="F6" s="669"/>
    </row>
    <row r="7" spans="1:6" ht="21" customHeight="1">
      <c r="A7" s="238"/>
      <c r="B7" s="238"/>
      <c r="C7" s="238"/>
      <c r="D7" s="238"/>
      <c r="E7" s="238"/>
      <c r="F7" s="238"/>
    </row>
    <row r="8" spans="1:6" ht="19.5" customHeight="1">
      <c r="A8" s="220"/>
      <c r="B8" s="220"/>
      <c r="C8" s="221"/>
      <c r="D8" s="221"/>
      <c r="E8" s="670" t="s">
        <v>17</v>
      </c>
      <c r="F8" s="670"/>
    </row>
    <row r="9" spans="1:8" s="222" customFormat="1" ht="27.75" customHeight="1">
      <c r="A9" s="671" t="s">
        <v>70</v>
      </c>
      <c r="B9" s="671" t="s">
        <v>53</v>
      </c>
      <c r="C9" s="671" t="s">
        <v>365</v>
      </c>
      <c r="D9" s="674" t="s">
        <v>141</v>
      </c>
      <c r="E9" s="674" t="s">
        <v>366</v>
      </c>
      <c r="F9" s="674" t="s">
        <v>143</v>
      </c>
      <c r="G9" s="288"/>
      <c r="H9" s="288"/>
    </row>
    <row r="10" spans="1:8" s="222" customFormat="1" ht="27.75" customHeight="1">
      <c r="A10" s="672"/>
      <c r="B10" s="672"/>
      <c r="C10" s="672"/>
      <c r="D10" s="674"/>
      <c r="E10" s="674"/>
      <c r="F10" s="674"/>
      <c r="G10" s="287"/>
      <c r="H10" s="287"/>
    </row>
    <row r="11" spans="1:8" s="222" customFormat="1" ht="66" customHeight="1">
      <c r="A11" s="673"/>
      <c r="B11" s="673"/>
      <c r="C11" s="673"/>
      <c r="D11" s="674"/>
      <c r="E11" s="674"/>
      <c r="F11" s="674"/>
      <c r="G11" s="286"/>
      <c r="H11" s="286"/>
    </row>
    <row r="12" spans="1:6" s="224" customFormat="1" ht="23.25" customHeight="1">
      <c r="A12" s="223" t="s">
        <v>3</v>
      </c>
      <c r="B12" s="223" t="s">
        <v>12</v>
      </c>
      <c r="C12" s="223" t="s">
        <v>367</v>
      </c>
      <c r="D12" s="223">
        <v>2</v>
      </c>
      <c r="E12" s="223">
        <f>D12+1</f>
        <v>3</v>
      </c>
      <c r="F12" s="223">
        <f>E12+1</f>
        <v>4</v>
      </c>
    </row>
    <row r="13" spans="1:8" s="221" customFormat="1" ht="28.5" customHeight="1">
      <c r="A13" s="225"/>
      <c r="B13" s="285" t="s">
        <v>2</v>
      </c>
      <c r="C13" s="226">
        <f>SUM(C14:C23)</f>
        <v>964769</v>
      </c>
      <c r="D13" s="226">
        <f>SUM(D14:D23)</f>
        <v>27044</v>
      </c>
      <c r="E13" s="226">
        <f>SUM(E14:E23)</f>
        <v>57667</v>
      </c>
      <c r="F13" s="226">
        <f>SUM(F14:F23)</f>
        <v>880058</v>
      </c>
      <c r="G13" s="291"/>
      <c r="H13" s="291"/>
    </row>
    <row r="14" spans="1:8" s="221" customFormat="1" ht="28.5" customHeight="1">
      <c r="A14" s="227">
        <v>1</v>
      </c>
      <c r="B14" s="228" t="s">
        <v>56</v>
      </c>
      <c r="C14" s="229">
        <f>D14+E14+F14</f>
        <v>1600</v>
      </c>
      <c r="D14" s="229"/>
      <c r="E14" s="229">
        <v>228</v>
      </c>
      <c r="F14" s="289">
        <v>1372</v>
      </c>
      <c r="G14" s="290"/>
      <c r="H14" s="290"/>
    </row>
    <row r="15" spans="1:8" s="221" customFormat="1" ht="28.5" customHeight="1">
      <c r="A15" s="227">
        <v>2</v>
      </c>
      <c r="B15" s="228" t="s">
        <v>58</v>
      </c>
      <c r="C15" s="229">
        <f aca="true" t="shared" si="0" ref="C15:C23">D15+E15+F15</f>
        <v>78363</v>
      </c>
      <c r="D15" s="229"/>
      <c r="E15" s="229">
        <v>3673</v>
      </c>
      <c r="F15" s="289">
        <f>71527+3163</f>
        <v>74690</v>
      </c>
      <c r="G15" s="290"/>
      <c r="H15" s="290"/>
    </row>
    <row r="16" spans="1:8" s="221" customFormat="1" ht="28.5" customHeight="1">
      <c r="A16" s="227">
        <v>3</v>
      </c>
      <c r="B16" s="228" t="s">
        <v>62</v>
      </c>
      <c r="C16" s="229">
        <f t="shared" si="0"/>
        <v>134121</v>
      </c>
      <c r="D16" s="229">
        <v>482</v>
      </c>
      <c r="E16" s="229">
        <v>12672</v>
      </c>
      <c r="F16" s="289">
        <f>122096-1129</f>
        <v>120967</v>
      </c>
      <c r="G16" s="290"/>
      <c r="H16" s="290"/>
    </row>
    <row r="17" spans="1:8" s="221" customFormat="1" ht="28.5" customHeight="1">
      <c r="A17" s="227">
        <v>4</v>
      </c>
      <c r="B17" s="228" t="s">
        <v>61</v>
      </c>
      <c r="C17" s="229">
        <f t="shared" si="0"/>
        <v>121133</v>
      </c>
      <c r="D17" s="229"/>
      <c r="E17" s="229">
        <v>4590</v>
      </c>
      <c r="F17" s="289">
        <f>116959-416</f>
        <v>116543</v>
      </c>
      <c r="G17" s="290"/>
      <c r="H17" s="290"/>
    </row>
    <row r="18" spans="1:8" s="221" customFormat="1" ht="28.5" customHeight="1">
      <c r="A18" s="227">
        <v>5</v>
      </c>
      <c r="B18" s="228" t="s">
        <v>63</v>
      </c>
      <c r="C18" s="229">
        <f t="shared" si="0"/>
        <v>145927</v>
      </c>
      <c r="D18" s="229">
        <v>13312</v>
      </c>
      <c r="E18" s="229">
        <v>9751</v>
      </c>
      <c r="F18" s="289">
        <f>123393-529</f>
        <v>122864</v>
      </c>
      <c r="G18" s="290"/>
      <c r="H18" s="290"/>
    </row>
    <row r="19" spans="1:8" s="221" customFormat="1" ht="28.5" customHeight="1">
      <c r="A19" s="227">
        <v>6</v>
      </c>
      <c r="B19" s="228" t="s">
        <v>60</v>
      </c>
      <c r="C19" s="229">
        <f t="shared" si="0"/>
        <v>90310</v>
      </c>
      <c r="D19" s="229"/>
      <c r="E19" s="229">
        <v>7157</v>
      </c>
      <c r="F19" s="289">
        <f>83175-22</f>
        <v>83153</v>
      </c>
      <c r="G19" s="290"/>
      <c r="H19" s="290"/>
    </row>
    <row r="20" spans="1:8" s="221" customFormat="1" ht="28.5" customHeight="1">
      <c r="A20" s="227">
        <v>7</v>
      </c>
      <c r="B20" s="228" t="s">
        <v>64</v>
      </c>
      <c r="C20" s="229">
        <f t="shared" si="0"/>
        <v>106880</v>
      </c>
      <c r="D20" s="229"/>
      <c r="E20" s="229">
        <v>724</v>
      </c>
      <c r="F20" s="289">
        <f>106744-588</f>
        <v>106156</v>
      </c>
      <c r="G20" s="290"/>
      <c r="H20" s="290"/>
    </row>
    <row r="21" spans="1:8" s="221" customFormat="1" ht="30.75" customHeight="1">
      <c r="A21" s="227">
        <v>8</v>
      </c>
      <c r="B21" s="228" t="s">
        <v>65</v>
      </c>
      <c r="C21" s="229">
        <f t="shared" si="0"/>
        <v>124597</v>
      </c>
      <c r="D21" s="229"/>
      <c r="E21" s="229">
        <v>659</v>
      </c>
      <c r="F21" s="289">
        <f>124697-759</f>
        <v>123938</v>
      </c>
      <c r="G21" s="290"/>
      <c r="H21" s="290"/>
    </row>
    <row r="22" spans="1:8" s="221" customFormat="1" ht="28.5" customHeight="1">
      <c r="A22" s="227">
        <v>9</v>
      </c>
      <c r="B22" s="228" t="s">
        <v>57</v>
      </c>
      <c r="C22" s="229">
        <f t="shared" si="0"/>
        <v>1998</v>
      </c>
      <c r="D22" s="229"/>
      <c r="E22" s="229">
        <v>108</v>
      </c>
      <c r="F22" s="289">
        <f>1090+800</f>
        <v>1890</v>
      </c>
      <c r="G22" s="290"/>
      <c r="H22" s="290"/>
    </row>
    <row r="23" spans="1:8" s="221" customFormat="1" ht="28.5" customHeight="1">
      <c r="A23" s="227">
        <v>10</v>
      </c>
      <c r="B23" s="228" t="s">
        <v>59</v>
      </c>
      <c r="C23" s="229">
        <f t="shared" si="0"/>
        <v>159840</v>
      </c>
      <c r="D23" s="229">
        <v>13250</v>
      </c>
      <c r="E23" s="229">
        <v>18105</v>
      </c>
      <c r="F23" s="289">
        <f>129005-520</f>
        <v>128485</v>
      </c>
      <c r="G23" s="290"/>
      <c r="H23" s="290"/>
    </row>
    <row r="24" spans="1:6" ht="18.75">
      <c r="A24" s="230"/>
      <c r="B24" s="230"/>
      <c r="C24" s="230"/>
      <c r="D24" s="230"/>
      <c r="E24" s="230"/>
      <c r="F24" s="230"/>
    </row>
    <row r="25" spans="1:6" ht="18.75">
      <c r="A25" s="221"/>
      <c r="B25" s="221"/>
      <c r="C25" s="221"/>
      <c r="D25" s="221"/>
      <c r="E25" s="221"/>
      <c r="F25" s="221"/>
    </row>
    <row r="26" spans="1:6" ht="18.75">
      <c r="A26" s="221"/>
      <c r="B26" s="221"/>
      <c r="C26" s="221"/>
      <c r="D26" s="221"/>
      <c r="E26" s="221"/>
      <c r="F26" s="221"/>
    </row>
    <row r="27" spans="1:6" ht="18.75">
      <c r="A27" s="221"/>
      <c r="B27" s="221"/>
      <c r="C27" s="221"/>
      <c r="D27" s="221"/>
      <c r="E27" s="221"/>
      <c r="F27" s="221"/>
    </row>
    <row r="28" spans="1:6" ht="18.75">
      <c r="A28" s="221"/>
      <c r="B28" s="221"/>
      <c r="C28" s="221"/>
      <c r="D28" s="221"/>
      <c r="E28" s="221"/>
      <c r="F28" s="221"/>
    </row>
    <row r="29" spans="1:6" ht="18.75">
      <c r="A29" s="221"/>
      <c r="B29" s="221"/>
      <c r="C29" s="221"/>
      <c r="D29" s="221"/>
      <c r="E29" s="221"/>
      <c r="F29" s="221"/>
    </row>
    <row r="30" spans="1:6" ht="18.75">
      <c r="A30" s="221"/>
      <c r="B30" s="221"/>
      <c r="C30" s="221"/>
      <c r="D30" s="221"/>
      <c r="E30" s="221"/>
      <c r="F30" s="221"/>
    </row>
    <row r="31" spans="1:6" ht="18.75">
      <c r="A31" s="221"/>
      <c r="B31" s="221"/>
      <c r="C31" s="221"/>
      <c r="D31" s="221"/>
      <c r="E31" s="221"/>
      <c r="F31" s="221"/>
    </row>
    <row r="32" spans="1:6" ht="18.75">
      <c r="A32" s="221"/>
      <c r="B32" s="221"/>
      <c r="C32" s="221"/>
      <c r="D32" s="221"/>
      <c r="E32" s="221"/>
      <c r="F32" s="221"/>
    </row>
    <row r="33" spans="1:6" ht="22.5" customHeight="1">
      <c r="A33" s="221"/>
      <c r="B33" s="221"/>
      <c r="C33" s="221"/>
      <c r="D33" s="221"/>
      <c r="E33" s="221"/>
      <c r="F33" s="221"/>
    </row>
    <row r="34" spans="1:6" ht="18.75">
      <c r="A34" s="221"/>
      <c r="B34" s="221"/>
      <c r="C34" s="221"/>
      <c r="D34" s="221"/>
      <c r="E34" s="221"/>
      <c r="F34" s="221"/>
    </row>
    <row r="35" spans="1:6" ht="18.75">
      <c r="A35" s="221"/>
      <c r="B35" s="221"/>
      <c r="C35" s="221"/>
      <c r="D35" s="221"/>
      <c r="E35" s="221"/>
      <c r="F35" s="221"/>
    </row>
    <row r="36" spans="1:6" ht="18.75">
      <c r="A36" s="221"/>
      <c r="B36" s="221"/>
      <c r="C36" s="221"/>
      <c r="D36" s="221"/>
      <c r="E36" s="221"/>
      <c r="F36" s="221"/>
    </row>
    <row r="37" spans="1:6" ht="18.75">
      <c r="A37" s="221"/>
      <c r="B37" s="221"/>
      <c r="C37" s="221"/>
      <c r="D37" s="221"/>
      <c r="E37" s="221"/>
      <c r="F37" s="221"/>
    </row>
  </sheetData>
  <sheetProtection/>
  <mergeCells count="10">
    <mergeCell ref="D1:F1"/>
    <mergeCell ref="A4:F5"/>
    <mergeCell ref="A6:F6"/>
    <mergeCell ref="E8:F8"/>
    <mergeCell ref="A9:A11"/>
    <mergeCell ref="B9:B11"/>
    <mergeCell ref="C9:C11"/>
    <mergeCell ref="D9:D11"/>
    <mergeCell ref="E9:E11"/>
    <mergeCell ref="F9:F11"/>
  </mergeCells>
  <printOptions horizontalCentered="1"/>
  <pageMargins left="0.2362204724409449" right="0" top="0.5118110236220472" bottom="0.98425196850393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M70"/>
  <sheetViews>
    <sheetView view="pageBreakPreview" zoomScale="85" zoomScaleNormal="85" zoomScaleSheetLayoutView="85" zoomScalePageLayoutView="0" workbookViewId="0" topLeftCell="A1">
      <pane xSplit="2" ySplit="10" topLeftCell="C58" activePane="bottomRight" state="frozen"/>
      <selection pane="topLeft" activeCell="A1" sqref="A1"/>
      <selection pane="topRight" activeCell="C1" sqref="C1"/>
      <selection pane="bottomLeft" activeCell="A10" sqref="A10"/>
      <selection pane="bottomRight" activeCell="B40" sqref="B40"/>
    </sheetView>
  </sheetViews>
  <sheetFormatPr defaultColWidth="8.796875" defaultRowHeight="15"/>
  <cols>
    <col min="1" max="1" width="6" style="50" customWidth="1"/>
    <col min="2" max="2" width="53.8984375" style="5" customWidth="1"/>
    <col min="3" max="4" width="14.09765625" style="51" customWidth="1"/>
    <col min="5" max="5" width="11.19921875" style="5" customWidth="1"/>
    <col min="6" max="6" width="11.59765625" style="5" customWidth="1"/>
    <col min="7" max="7" width="11.3984375" style="5" customWidth="1"/>
    <col min="8" max="8" width="12.59765625" style="84" customWidth="1"/>
    <col min="9" max="10" width="9.19921875" style="5" customWidth="1"/>
    <col min="11" max="11" width="11.3984375" style="5" customWidth="1"/>
    <col min="12" max="16384" width="9" style="5" customWidth="1"/>
  </cols>
  <sheetData>
    <row r="1" spans="1:10" ht="21" customHeight="1">
      <c r="A1" s="1"/>
      <c r="B1" s="2"/>
      <c r="C1" s="3"/>
      <c r="D1" s="3"/>
      <c r="E1" s="4"/>
      <c r="F1" s="4"/>
      <c r="G1" s="581" t="s">
        <v>16</v>
      </c>
      <c r="H1" s="581"/>
      <c r="I1" s="581"/>
      <c r="J1" s="581"/>
    </row>
    <row r="2" spans="1:10" ht="21" customHeight="1">
      <c r="A2" s="573" t="s">
        <v>489</v>
      </c>
      <c r="B2" s="573"/>
      <c r="C2" s="573"/>
      <c r="D2" s="573"/>
      <c r="E2" s="573"/>
      <c r="F2" s="573"/>
      <c r="G2" s="573"/>
      <c r="H2" s="573"/>
      <c r="I2" s="573"/>
      <c r="J2" s="573"/>
    </row>
    <row r="3" spans="1:10" ht="21" customHeight="1">
      <c r="A3" s="568" t="str">
        <f>'Biểu 15-NQ'!A4:G4</f>
        <v>(Kèm theo Nghị quyết số   96 /NQ-HĐND ngày  07  tháng 12 năm 2018 của HĐND tỉnh Điện Biên)</v>
      </c>
      <c r="B3" s="568"/>
      <c r="C3" s="568"/>
      <c r="D3" s="568"/>
      <c r="E3" s="568"/>
      <c r="F3" s="568"/>
      <c r="G3" s="568"/>
      <c r="H3" s="568"/>
      <c r="I3" s="568"/>
      <c r="J3" s="568"/>
    </row>
    <row r="4" spans="1:10" ht="14.25" customHeight="1" hidden="1">
      <c r="A4" s="7"/>
      <c r="B4" s="8"/>
      <c r="C4" s="9"/>
      <c r="D4" s="9"/>
      <c r="E4" s="4"/>
      <c r="F4" s="4"/>
      <c r="G4" s="4"/>
      <c r="H4" s="65"/>
      <c r="I4" s="4"/>
      <c r="J4" s="4"/>
    </row>
    <row r="5" spans="1:10" ht="14.25" customHeight="1">
      <c r="A5" s="7"/>
      <c r="B5" s="8"/>
      <c r="C5" s="9"/>
      <c r="D5" s="9"/>
      <c r="E5" s="4"/>
      <c r="F5" s="4"/>
      <c r="G5" s="4"/>
      <c r="H5" s="65"/>
      <c r="I5" s="4"/>
      <c r="J5" s="4"/>
    </row>
    <row r="6" spans="1:11" ht="19.5" customHeight="1" thickBot="1">
      <c r="A6" s="6"/>
      <c r="B6" s="10"/>
      <c r="C6" s="11"/>
      <c r="D6" s="11"/>
      <c r="E6" s="12"/>
      <c r="F6" s="12"/>
      <c r="G6" s="12"/>
      <c r="H6" s="66"/>
      <c r="I6" s="13"/>
      <c r="J6" s="14" t="s">
        <v>17</v>
      </c>
      <c r="K6" s="12"/>
    </row>
    <row r="7" spans="1:12" s="16" customFormat="1" ht="49.5" customHeight="1">
      <c r="A7" s="577" t="s">
        <v>70</v>
      </c>
      <c r="B7" s="577" t="s">
        <v>18</v>
      </c>
      <c r="C7" s="566" t="s">
        <v>19</v>
      </c>
      <c r="D7" s="566"/>
      <c r="E7" s="566" t="s">
        <v>450</v>
      </c>
      <c r="F7" s="566"/>
      <c r="G7" s="566" t="s">
        <v>470</v>
      </c>
      <c r="H7" s="583"/>
      <c r="I7" s="566" t="s">
        <v>20</v>
      </c>
      <c r="J7" s="566"/>
      <c r="K7" s="575" t="s">
        <v>398</v>
      </c>
      <c r="L7" s="575"/>
    </row>
    <row r="8" spans="1:12" s="16" customFormat="1" ht="18.75" customHeight="1">
      <c r="A8" s="582"/>
      <c r="B8" s="582"/>
      <c r="C8" s="577" t="s">
        <v>21</v>
      </c>
      <c r="D8" s="577" t="s">
        <v>22</v>
      </c>
      <c r="E8" s="577" t="s">
        <v>21</v>
      </c>
      <c r="F8" s="577" t="s">
        <v>22</v>
      </c>
      <c r="G8" s="577" t="s">
        <v>21</v>
      </c>
      <c r="H8" s="579" t="s">
        <v>22</v>
      </c>
      <c r="I8" s="577" t="s">
        <v>21</v>
      </c>
      <c r="J8" s="577" t="s">
        <v>22</v>
      </c>
      <c r="K8" s="576"/>
      <c r="L8" s="576"/>
    </row>
    <row r="9" spans="1:12" s="16" customFormat="1" ht="39.75" customHeight="1">
      <c r="A9" s="578"/>
      <c r="B9" s="578"/>
      <c r="C9" s="578"/>
      <c r="D9" s="578"/>
      <c r="E9" s="578"/>
      <c r="F9" s="578"/>
      <c r="G9" s="578"/>
      <c r="H9" s="580"/>
      <c r="I9" s="578"/>
      <c r="J9" s="578"/>
      <c r="K9" s="576"/>
      <c r="L9" s="576"/>
    </row>
    <row r="10" spans="1:11" s="19" customFormat="1" ht="21.75" customHeight="1">
      <c r="A10" s="15" t="s">
        <v>3</v>
      </c>
      <c r="B10" s="15" t="s">
        <v>12</v>
      </c>
      <c r="C10" s="95">
        <v>1</v>
      </c>
      <c r="D10" s="95">
        <v>2</v>
      </c>
      <c r="E10" s="15">
        <v>3</v>
      </c>
      <c r="F10" s="15">
        <v>4</v>
      </c>
      <c r="G10" s="15">
        <f>F10+1</f>
        <v>5</v>
      </c>
      <c r="H10" s="273">
        <f>G10+1</f>
        <v>6</v>
      </c>
      <c r="I10" s="15" t="s">
        <v>590</v>
      </c>
      <c r="J10" s="15" t="s">
        <v>591</v>
      </c>
      <c r="K10" s="96"/>
    </row>
    <row r="11" spans="1:13" s="24" customFormat="1" ht="20.25" customHeight="1">
      <c r="A11" s="393"/>
      <c r="B11" s="393" t="s">
        <v>432</v>
      </c>
      <c r="C11" s="394">
        <f aca="true" t="shared" si="0" ref="C11:H11">C12+C62+C67</f>
        <v>1078094</v>
      </c>
      <c r="D11" s="394">
        <f t="shared" si="0"/>
        <v>973494</v>
      </c>
      <c r="E11" s="394">
        <f t="shared" si="0"/>
        <v>1144494</v>
      </c>
      <c r="F11" s="394">
        <f t="shared" si="0"/>
        <v>1033843</v>
      </c>
      <c r="G11" s="394">
        <f t="shared" si="0"/>
        <v>1196397</v>
      </c>
      <c r="H11" s="394">
        <f t="shared" si="0"/>
        <v>1046934</v>
      </c>
      <c r="I11" s="32">
        <f>G11/E11*100</f>
        <v>104.53501722158438</v>
      </c>
      <c r="J11" s="276">
        <f>H11/F11*100</f>
        <v>101.2662464223291</v>
      </c>
      <c r="K11" s="233">
        <f>E11/C11*100</f>
        <v>106.15901767378355</v>
      </c>
      <c r="L11" s="235">
        <f>G12-H12-G35-G38-G58</f>
        <v>1750</v>
      </c>
      <c r="M11" s="235" t="e">
        <f>F11-#REF!</f>
        <v>#REF!</v>
      </c>
    </row>
    <row r="12" spans="1:13" s="24" customFormat="1" ht="20.25" customHeight="1">
      <c r="A12" s="395" t="s">
        <v>4</v>
      </c>
      <c r="B12" s="396" t="s">
        <v>23</v>
      </c>
      <c r="C12" s="397">
        <f aca="true" t="shared" si="1" ref="C12:H12">C13+C18+C24+C26+C32+C33+C36+C37+C43+C44+C42+C49+C50+C54+C57+C61</f>
        <v>1030000</v>
      </c>
      <c r="D12" s="397">
        <f t="shared" si="1"/>
        <v>934400</v>
      </c>
      <c r="E12" s="397">
        <f t="shared" si="1"/>
        <v>1091400</v>
      </c>
      <c r="F12" s="397">
        <f t="shared" si="1"/>
        <v>994749</v>
      </c>
      <c r="G12" s="397">
        <f t="shared" si="1"/>
        <v>1150000</v>
      </c>
      <c r="H12" s="397">
        <f t="shared" si="1"/>
        <v>1009537</v>
      </c>
      <c r="I12" s="32">
        <f>G12/E12*100</f>
        <v>105.36925050393991</v>
      </c>
      <c r="J12" s="33">
        <f>H12/F12*100</f>
        <v>101.48660616899339</v>
      </c>
      <c r="K12" s="233">
        <f>E12/C12*100</f>
        <v>105.96116504854369</v>
      </c>
      <c r="M12" s="235" t="e">
        <f>F12-#REF!</f>
        <v>#REF!</v>
      </c>
    </row>
    <row r="13" spans="1:13" s="24" customFormat="1" ht="20.25" customHeight="1">
      <c r="A13" s="395">
        <v>1</v>
      </c>
      <c r="B13" s="396" t="s">
        <v>24</v>
      </c>
      <c r="C13" s="397">
        <f aca="true" t="shared" si="2" ref="C13:H13">SUM(C14:C17)</f>
        <v>206000</v>
      </c>
      <c r="D13" s="398">
        <f t="shared" si="2"/>
        <v>206000</v>
      </c>
      <c r="E13" s="398">
        <f t="shared" si="2"/>
        <v>221300</v>
      </c>
      <c r="F13" s="398">
        <f t="shared" si="2"/>
        <v>221300</v>
      </c>
      <c r="G13" s="27">
        <f t="shared" si="2"/>
        <v>217000</v>
      </c>
      <c r="H13" s="27">
        <f t="shared" si="2"/>
        <v>217000</v>
      </c>
      <c r="I13" s="32">
        <f aca="true" t="shared" si="3" ref="I13:J61">G13/E13*100</f>
        <v>98.05693628558518</v>
      </c>
      <c r="J13" s="33">
        <f t="shared" si="3"/>
        <v>98.05693628558518</v>
      </c>
      <c r="K13" s="233">
        <f aca="true" t="shared" si="4" ref="K13:K61">E13/C13*100</f>
        <v>107.42718446601943</v>
      </c>
      <c r="M13" s="235" t="e">
        <f>F13-#REF!</f>
        <v>#REF!</v>
      </c>
    </row>
    <row r="14" spans="1:13" s="12" customFormat="1" ht="20.25" customHeight="1">
      <c r="A14" s="231"/>
      <c r="B14" s="232" t="s">
        <v>25</v>
      </c>
      <c r="C14" s="399">
        <v>64500</v>
      </c>
      <c r="D14" s="399">
        <f>C14</f>
        <v>64500</v>
      </c>
      <c r="E14" s="400">
        <v>48800</v>
      </c>
      <c r="F14" s="399">
        <f>E14</f>
        <v>48800</v>
      </c>
      <c r="G14" s="30">
        <v>56500</v>
      </c>
      <c r="H14" s="31">
        <f>G14</f>
        <v>56500</v>
      </c>
      <c r="I14" s="32">
        <f t="shared" si="3"/>
        <v>115.77868852459017</v>
      </c>
      <c r="J14" s="33">
        <f t="shared" si="3"/>
        <v>115.77868852459017</v>
      </c>
      <c r="K14" s="233">
        <f t="shared" si="4"/>
        <v>75.65891472868216</v>
      </c>
      <c r="M14" s="235" t="e">
        <f>F14-#REF!</f>
        <v>#REF!</v>
      </c>
    </row>
    <row r="15" spans="1:13" s="12" customFormat="1" ht="20.25" customHeight="1">
      <c r="A15" s="231"/>
      <c r="B15" s="232" t="s">
        <v>26</v>
      </c>
      <c r="C15" s="399">
        <v>5500</v>
      </c>
      <c r="D15" s="399">
        <f aca="true" t="shared" si="5" ref="D15:F16">C15</f>
        <v>5500</v>
      </c>
      <c r="E15" s="400">
        <v>2500</v>
      </c>
      <c r="F15" s="399">
        <f t="shared" si="5"/>
        <v>2500</v>
      </c>
      <c r="G15" s="30">
        <v>5500</v>
      </c>
      <c r="H15" s="31">
        <f>G15</f>
        <v>5500</v>
      </c>
      <c r="I15" s="32">
        <f t="shared" si="3"/>
        <v>220.00000000000003</v>
      </c>
      <c r="J15" s="33">
        <f t="shared" si="3"/>
        <v>220.00000000000003</v>
      </c>
      <c r="K15" s="233">
        <f t="shared" si="4"/>
        <v>45.45454545454545</v>
      </c>
      <c r="M15" s="235" t="e">
        <f>F15-#REF!</f>
        <v>#REF!</v>
      </c>
    </row>
    <row r="16" spans="1:13" s="12" customFormat="1" ht="20.25" customHeight="1">
      <c r="A16" s="231"/>
      <c r="B16" s="232" t="s">
        <v>27</v>
      </c>
      <c r="C16" s="399">
        <v>136000</v>
      </c>
      <c r="D16" s="399">
        <f t="shared" si="5"/>
        <v>136000</v>
      </c>
      <c r="E16" s="400">
        <v>170000</v>
      </c>
      <c r="F16" s="399">
        <f t="shared" si="5"/>
        <v>170000</v>
      </c>
      <c r="G16" s="30">
        <v>155000</v>
      </c>
      <c r="H16" s="31">
        <f>G16</f>
        <v>155000</v>
      </c>
      <c r="I16" s="32">
        <f t="shared" si="3"/>
        <v>91.17647058823529</v>
      </c>
      <c r="J16" s="33">
        <f t="shared" si="3"/>
        <v>91.17647058823529</v>
      </c>
      <c r="K16" s="233">
        <f t="shared" si="4"/>
        <v>125</v>
      </c>
      <c r="M16" s="235" t="e">
        <f>F16-#REF!</f>
        <v>#REF!</v>
      </c>
    </row>
    <row r="17" spans="1:13" s="12" customFormat="1" ht="20.25" customHeight="1" hidden="1">
      <c r="A17" s="231"/>
      <c r="B17" s="232" t="s">
        <v>28</v>
      </c>
      <c r="C17" s="399"/>
      <c r="D17" s="399"/>
      <c r="E17" s="400"/>
      <c r="F17" s="399"/>
      <c r="G17" s="30"/>
      <c r="H17" s="31"/>
      <c r="I17" s="32"/>
      <c r="J17" s="33"/>
      <c r="K17" s="233" t="e">
        <f t="shared" si="4"/>
        <v>#DIV/0!</v>
      </c>
      <c r="M17" s="235" t="e">
        <f>F17-#REF!</f>
        <v>#REF!</v>
      </c>
    </row>
    <row r="18" spans="1:13" s="24" customFormat="1" ht="20.25" customHeight="1">
      <c r="A18" s="395">
        <f>A13+1</f>
        <v>2</v>
      </c>
      <c r="B18" s="396" t="s">
        <v>29</v>
      </c>
      <c r="C18" s="397">
        <f aca="true" t="shared" si="6" ref="C18:H18">SUM(C19:C23)</f>
        <v>22000</v>
      </c>
      <c r="D18" s="398">
        <f t="shared" si="6"/>
        <v>22000</v>
      </c>
      <c r="E18" s="398">
        <f t="shared" si="6"/>
        <v>22000</v>
      </c>
      <c r="F18" s="398">
        <f t="shared" si="6"/>
        <v>22000</v>
      </c>
      <c r="G18" s="27">
        <f t="shared" si="6"/>
        <v>20000</v>
      </c>
      <c r="H18" s="27">
        <f t="shared" si="6"/>
        <v>20000</v>
      </c>
      <c r="I18" s="32">
        <f t="shared" si="3"/>
        <v>90.9090909090909</v>
      </c>
      <c r="J18" s="33">
        <f t="shared" si="3"/>
        <v>90.9090909090909</v>
      </c>
      <c r="K18" s="233">
        <f t="shared" si="4"/>
        <v>100</v>
      </c>
      <c r="M18" s="235" t="e">
        <f>F18-#REF!</f>
        <v>#REF!</v>
      </c>
    </row>
    <row r="19" spans="1:13" s="12" customFormat="1" ht="20.25" customHeight="1">
      <c r="A19" s="231"/>
      <c r="B19" s="232" t="s">
        <v>25</v>
      </c>
      <c r="C19" s="399">
        <v>15500</v>
      </c>
      <c r="D19" s="399">
        <f>C19</f>
        <v>15500</v>
      </c>
      <c r="E19" s="400">
        <v>16600</v>
      </c>
      <c r="F19" s="399">
        <f>E19</f>
        <v>16600</v>
      </c>
      <c r="G19" s="30">
        <v>13000</v>
      </c>
      <c r="H19" s="31">
        <f>G19</f>
        <v>13000</v>
      </c>
      <c r="I19" s="32">
        <f t="shared" si="3"/>
        <v>78.3132530120482</v>
      </c>
      <c r="J19" s="33">
        <f t="shared" si="3"/>
        <v>78.3132530120482</v>
      </c>
      <c r="K19" s="233">
        <f t="shared" si="4"/>
        <v>107.0967741935484</v>
      </c>
      <c r="M19" s="235" t="e">
        <f>F19-#REF!</f>
        <v>#REF!</v>
      </c>
    </row>
    <row r="20" spans="1:13" s="12" customFormat="1" ht="20.25" customHeight="1">
      <c r="A20" s="231"/>
      <c r="B20" s="232" t="s">
        <v>26</v>
      </c>
      <c r="C20" s="399">
        <v>3500</v>
      </c>
      <c r="D20" s="399">
        <f aca="true" t="shared" si="7" ref="D20:F22">C20</f>
        <v>3500</v>
      </c>
      <c r="E20" s="400">
        <v>2000</v>
      </c>
      <c r="F20" s="399">
        <f t="shared" si="7"/>
        <v>2000</v>
      </c>
      <c r="G20" s="30">
        <v>3500</v>
      </c>
      <c r="H20" s="31">
        <f>G20</f>
        <v>3500</v>
      </c>
      <c r="I20" s="32">
        <f t="shared" si="3"/>
        <v>175</v>
      </c>
      <c r="J20" s="33">
        <f t="shared" si="3"/>
        <v>175</v>
      </c>
      <c r="K20" s="233">
        <f t="shared" si="4"/>
        <v>57.14285714285714</v>
      </c>
      <c r="M20" s="235" t="e">
        <f>F20-#REF!</f>
        <v>#REF!</v>
      </c>
    </row>
    <row r="21" spans="1:13" s="12" customFormat="1" ht="20.25" customHeight="1" hidden="1">
      <c r="A21" s="231"/>
      <c r="B21" s="232" t="s">
        <v>30</v>
      </c>
      <c r="C21" s="399"/>
      <c r="D21" s="399"/>
      <c r="E21" s="400"/>
      <c r="F21" s="399"/>
      <c r="G21" s="30"/>
      <c r="H21" s="31">
        <f>G21</f>
        <v>0</v>
      </c>
      <c r="I21" s="32" t="e">
        <f t="shared" si="3"/>
        <v>#DIV/0!</v>
      </c>
      <c r="J21" s="33" t="e">
        <f t="shared" si="3"/>
        <v>#DIV/0!</v>
      </c>
      <c r="K21" s="233" t="e">
        <f t="shared" si="4"/>
        <v>#DIV/0!</v>
      </c>
      <c r="M21" s="235" t="e">
        <f>F21-#REF!</f>
        <v>#REF!</v>
      </c>
    </row>
    <row r="22" spans="1:13" s="12" customFormat="1" ht="20.25" customHeight="1">
      <c r="A22" s="231"/>
      <c r="B22" s="232" t="s">
        <v>27</v>
      </c>
      <c r="C22" s="399">
        <v>3000</v>
      </c>
      <c r="D22" s="399">
        <f t="shared" si="7"/>
        <v>3000</v>
      </c>
      <c r="E22" s="400">
        <v>3400</v>
      </c>
      <c r="F22" s="399">
        <f t="shared" si="7"/>
        <v>3400</v>
      </c>
      <c r="G22" s="30">
        <v>3500</v>
      </c>
      <c r="H22" s="31">
        <f>G22</f>
        <v>3500</v>
      </c>
      <c r="I22" s="32">
        <f t="shared" si="3"/>
        <v>102.94117647058823</v>
      </c>
      <c r="J22" s="33">
        <f t="shared" si="3"/>
        <v>102.94117647058823</v>
      </c>
      <c r="K22" s="233">
        <f t="shared" si="4"/>
        <v>113.33333333333333</v>
      </c>
      <c r="M22" s="235" t="e">
        <f>F22-#REF!</f>
        <v>#REF!</v>
      </c>
    </row>
    <row r="23" spans="1:13" s="12" customFormat="1" ht="20.25" customHeight="1" hidden="1">
      <c r="A23" s="231"/>
      <c r="B23" s="232" t="s">
        <v>28</v>
      </c>
      <c r="C23" s="399"/>
      <c r="D23" s="399"/>
      <c r="E23" s="400"/>
      <c r="F23" s="399"/>
      <c r="G23" s="30"/>
      <c r="H23" s="31"/>
      <c r="I23" s="32"/>
      <c r="J23" s="33"/>
      <c r="K23" s="233" t="e">
        <f t="shared" si="4"/>
        <v>#DIV/0!</v>
      </c>
      <c r="M23" s="235" t="e">
        <f>F23-#REF!</f>
        <v>#REF!</v>
      </c>
    </row>
    <row r="24" spans="1:13" s="24" customFormat="1" ht="44.25" customHeight="1">
      <c r="A24" s="395">
        <f>A18+1</f>
        <v>3</v>
      </c>
      <c r="B24" s="396" t="s">
        <v>31</v>
      </c>
      <c r="C24" s="397">
        <f>C25</f>
        <v>100</v>
      </c>
      <c r="D24" s="398">
        <f>D25</f>
        <v>100</v>
      </c>
      <c r="E24" s="398">
        <f>E25</f>
        <v>250</v>
      </c>
      <c r="F24" s="398">
        <f>F25</f>
        <v>250</v>
      </c>
      <c r="G24" s="27">
        <f>G25</f>
        <v>200</v>
      </c>
      <c r="H24" s="27">
        <f>G24</f>
        <v>200</v>
      </c>
      <c r="I24" s="32">
        <f t="shared" si="3"/>
        <v>80</v>
      </c>
      <c r="J24" s="33">
        <f t="shared" si="3"/>
        <v>80</v>
      </c>
      <c r="K24" s="233">
        <f t="shared" si="4"/>
        <v>250</v>
      </c>
      <c r="M24" s="235" t="e">
        <f>F24-#REF!</f>
        <v>#REF!</v>
      </c>
    </row>
    <row r="25" spans="1:13" s="12" customFormat="1" ht="20.25" customHeight="1">
      <c r="A25" s="401"/>
      <c r="B25" s="232" t="s">
        <v>25</v>
      </c>
      <c r="C25" s="399">
        <v>100</v>
      </c>
      <c r="D25" s="399">
        <v>100</v>
      </c>
      <c r="E25" s="400">
        <v>250</v>
      </c>
      <c r="F25" s="399">
        <f>E25</f>
        <v>250</v>
      </c>
      <c r="G25" s="30">
        <v>200</v>
      </c>
      <c r="H25" s="31">
        <f>G25</f>
        <v>200</v>
      </c>
      <c r="I25" s="32">
        <f t="shared" si="3"/>
        <v>80</v>
      </c>
      <c r="J25" s="33">
        <f t="shared" si="3"/>
        <v>80</v>
      </c>
      <c r="K25" s="233">
        <f t="shared" si="4"/>
        <v>250</v>
      </c>
      <c r="M25" s="235" t="e">
        <f>F25-#REF!</f>
        <v>#REF!</v>
      </c>
    </row>
    <row r="26" spans="1:13" s="24" customFormat="1" ht="20.25" customHeight="1">
      <c r="A26" s="395">
        <f>A24+1</f>
        <v>4</v>
      </c>
      <c r="B26" s="396" t="s">
        <v>32</v>
      </c>
      <c r="C26" s="397">
        <f aca="true" t="shared" si="8" ref="C26:H26">SUM(C27:C31)</f>
        <v>364300</v>
      </c>
      <c r="D26" s="398">
        <f t="shared" si="8"/>
        <v>364300</v>
      </c>
      <c r="E26" s="398">
        <f t="shared" si="8"/>
        <v>349300</v>
      </c>
      <c r="F26" s="398">
        <f t="shared" si="8"/>
        <v>349300</v>
      </c>
      <c r="G26" s="27">
        <f t="shared" si="8"/>
        <v>383000</v>
      </c>
      <c r="H26" s="27">
        <f t="shared" si="8"/>
        <v>383000</v>
      </c>
      <c r="I26" s="32">
        <f t="shared" si="3"/>
        <v>109.64786716289723</v>
      </c>
      <c r="J26" s="33">
        <f t="shared" si="3"/>
        <v>109.64786716289723</v>
      </c>
      <c r="K26" s="233">
        <f t="shared" si="4"/>
        <v>95.88251441119957</v>
      </c>
      <c r="M26" s="235" t="e">
        <f>F26-#REF!</f>
        <v>#REF!</v>
      </c>
    </row>
    <row r="27" spans="1:13" s="12" customFormat="1" ht="20.25" customHeight="1">
      <c r="A27" s="231"/>
      <c r="B27" s="232" t="s">
        <v>25</v>
      </c>
      <c r="C27" s="399">
        <v>311300</v>
      </c>
      <c r="D27" s="400">
        <f>C27</f>
        <v>311300</v>
      </c>
      <c r="E27" s="400">
        <v>290840</v>
      </c>
      <c r="F27" s="400">
        <f>E27</f>
        <v>290840</v>
      </c>
      <c r="G27" s="30">
        <v>326800</v>
      </c>
      <c r="H27" s="31">
        <f>G27</f>
        <v>326800</v>
      </c>
      <c r="I27" s="32">
        <f t="shared" si="3"/>
        <v>112.36418649429238</v>
      </c>
      <c r="J27" s="33">
        <f t="shared" si="3"/>
        <v>112.36418649429238</v>
      </c>
      <c r="K27" s="233">
        <f t="shared" si="4"/>
        <v>93.42756183745583</v>
      </c>
      <c r="M27" s="235" t="e">
        <f>F27-#REF!</f>
        <v>#REF!</v>
      </c>
    </row>
    <row r="28" spans="1:13" s="12" customFormat="1" ht="20.25" customHeight="1">
      <c r="A28" s="231"/>
      <c r="B28" s="232" t="s">
        <v>26</v>
      </c>
      <c r="C28" s="399">
        <v>14000</v>
      </c>
      <c r="D28" s="400">
        <f aca="true" t="shared" si="9" ref="D28:F30">C28</f>
        <v>14000</v>
      </c>
      <c r="E28" s="400">
        <v>15250</v>
      </c>
      <c r="F28" s="400">
        <f t="shared" si="9"/>
        <v>15250</v>
      </c>
      <c r="G28" s="30">
        <v>15000</v>
      </c>
      <c r="H28" s="31">
        <f>G28</f>
        <v>15000</v>
      </c>
      <c r="I28" s="32">
        <f t="shared" si="3"/>
        <v>98.36065573770492</v>
      </c>
      <c r="J28" s="33">
        <f t="shared" si="3"/>
        <v>98.36065573770492</v>
      </c>
      <c r="K28" s="233">
        <f t="shared" si="4"/>
        <v>108.92857142857142</v>
      </c>
      <c r="M28" s="235" t="e">
        <f>F28-#REF!</f>
        <v>#REF!</v>
      </c>
    </row>
    <row r="29" spans="1:13" s="12" customFormat="1" ht="20.25" customHeight="1">
      <c r="A29" s="231"/>
      <c r="B29" s="232" t="s">
        <v>30</v>
      </c>
      <c r="C29" s="399">
        <v>200</v>
      </c>
      <c r="D29" s="400">
        <f t="shared" si="9"/>
        <v>200</v>
      </c>
      <c r="E29" s="400">
        <v>200</v>
      </c>
      <c r="F29" s="400">
        <f t="shared" si="9"/>
        <v>200</v>
      </c>
      <c r="G29" s="30">
        <v>200</v>
      </c>
      <c r="H29" s="31">
        <f>G29</f>
        <v>200</v>
      </c>
      <c r="I29" s="32">
        <f t="shared" si="3"/>
        <v>100</v>
      </c>
      <c r="J29" s="33">
        <f t="shared" si="3"/>
        <v>100</v>
      </c>
      <c r="K29" s="233">
        <f t="shared" si="4"/>
        <v>100</v>
      </c>
      <c r="M29" s="235" t="e">
        <f>F29-#REF!</f>
        <v>#REF!</v>
      </c>
    </row>
    <row r="30" spans="1:13" s="12" customFormat="1" ht="20.25" customHeight="1">
      <c r="A30" s="231"/>
      <c r="B30" s="232" t="s">
        <v>27</v>
      </c>
      <c r="C30" s="399">
        <v>38800</v>
      </c>
      <c r="D30" s="400">
        <f t="shared" si="9"/>
        <v>38800</v>
      </c>
      <c r="E30" s="400">
        <v>40360</v>
      </c>
      <c r="F30" s="400">
        <f t="shared" si="9"/>
        <v>40360</v>
      </c>
      <c r="G30" s="30">
        <v>41000</v>
      </c>
      <c r="H30" s="31">
        <f>G30</f>
        <v>41000</v>
      </c>
      <c r="I30" s="32">
        <f t="shared" si="3"/>
        <v>101.58572844400398</v>
      </c>
      <c r="J30" s="33">
        <f t="shared" si="3"/>
        <v>101.58572844400398</v>
      </c>
      <c r="K30" s="233">
        <f t="shared" si="4"/>
        <v>104.02061855670104</v>
      </c>
      <c r="M30" s="235" t="e">
        <f>F30-#REF!</f>
        <v>#REF!</v>
      </c>
    </row>
    <row r="31" spans="1:13" s="12" customFormat="1" ht="20.25" customHeight="1">
      <c r="A31" s="231"/>
      <c r="B31" s="232" t="s">
        <v>33</v>
      </c>
      <c r="C31" s="399"/>
      <c r="D31" s="400"/>
      <c r="E31" s="400">
        <v>2650</v>
      </c>
      <c r="F31" s="400">
        <f>E31</f>
        <v>2650</v>
      </c>
      <c r="G31" s="30"/>
      <c r="H31" s="31"/>
      <c r="I31" s="32">
        <f t="shared" si="3"/>
        <v>0</v>
      </c>
      <c r="J31" s="33">
        <f t="shared" si="3"/>
        <v>0</v>
      </c>
      <c r="K31" s="233" t="e">
        <f t="shared" si="4"/>
        <v>#DIV/0!</v>
      </c>
      <c r="M31" s="235" t="e">
        <f>F31-#REF!</f>
        <v>#REF!</v>
      </c>
    </row>
    <row r="32" spans="1:13" s="24" customFormat="1" ht="20.25" customHeight="1">
      <c r="A32" s="395">
        <f>A26+1</f>
        <v>5</v>
      </c>
      <c r="B32" s="396" t="s">
        <v>6</v>
      </c>
      <c r="C32" s="397">
        <v>44000</v>
      </c>
      <c r="D32" s="397">
        <f>C32</f>
        <v>44000</v>
      </c>
      <c r="E32" s="398">
        <v>44900</v>
      </c>
      <c r="F32" s="397">
        <f>E32</f>
        <v>44900</v>
      </c>
      <c r="G32" s="27">
        <v>46000</v>
      </c>
      <c r="H32" s="27">
        <f>G32</f>
        <v>46000</v>
      </c>
      <c r="I32" s="32">
        <f t="shared" si="3"/>
        <v>102.44988864142539</v>
      </c>
      <c r="J32" s="33">
        <f t="shared" si="3"/>
        <v>102.44988864142539</v>
      </c>
      <c r="K32" s="233">
        <f t="shared" si="4"/>
        <v>102.04545454545455</v>
      </c>
      <c r="M32" s="235" t="e">
        <f>F32-#REF!</f>
        <v>#REF!</v>
      </c>
    </row>
    <row r="33" spans="1:13" s="24" customFormat="1" ht="20.25" customHeight="1">
      <c r="A33" s="395">
        <f>A32+1</f>
        <v>6</v>
      </c>
      <c r="B33" s="396" t="s">
        <v>9</v>
      </c>
      <c r="C33" s="397">
        <v>128000</v>
      </c>
      <c r="D33" s="397">
        <f>SUM(D34:D35)</f>
        <v>47600</v>
      </c>
      <c r="E33" s="398">
        <v>118060</v>
      </c>
      <c r="F33" s="397">
        <f>SUM(F34:F35)</f>
        <v>44060</v>
      </c>
      <c r="G33" s="36">
        <v>190000</v>
      </c>
      <c r="H33" s="27">
        <f>H34</f>
        <v>71000</v>
      </c>
      <c r="I33" s="32">
        <f t="shared" si="3"/>
        <v>160.93511773674402</v>
      </c>
      <c r="J33" s="33">
        <f t="shared" si="3"/>
        <v>161.14389468906037</v>
      </c>
      <c r="K33" s="233">
        <f t="shared" si="4"/>
        <v>92.234375</v>
      </c>
      <c r="M33" s="235" t="e">
        <f>F33-#REF!</f>
        <v>#REF!</v>
      </c>
    </row>
    <row r="34" spans="1:13" s="12" customFormat="1" ht="37.5">
      <c r="A34" s="564"/>
      <c r="B34" s="232" t="s">
        <v>34</v>
      </c>
      <c r="C34" s="399">
        <f>C33-C35</f>
        <v>47600</v>
      </c>
      <c r="D34" s="399">
        <f>C34</f>
        <v>47600</v>
      </c>
      <c r="E34" s="400">
        <v>44060</v>
      </c>
      <c r="F34" s="399">
        <f>E34</f>
        <v>44060</v>
      </c>
      <c r="G34" s="30">
        <v>71000</v>
      </c>
      <c r="H34" s="31">
        <f>G34</f>
        <v>71000</v>
      </c>
      <c r="I34" s="32">
        <f t="shared" si="3"/>
        <v>161.14389468906037</v>
      </c>
      <c r="J34" s="33">
        <f t="shared" si="3"/>
        <v>161.14389468906037</v>
      </c>
      <c r="K34" s="233">
        <f t="shared" si="4"/>
        <v>92.56302521008404</v>
      </c>
      <c r="M34" s="235" t="e">
        <f>F34-#REF!</f>
        <v>#REF!</v>
      </c>
    </row>
    <row r="35" spans="1:13" s="12" customFormat="1" ht="20.25" customHeight="1">
      <c r="A35" s="564"/>
      <c r="B35" s="232" t="s">
        <v>35</v>
      </c>
      <c r="C35" s="399">
        <v>80400</v>
      </c>
      <c r="D35" s="399"/>
      <c r="E35" s="400">
        <v>74000</v>
      </c>
      <c r="F35" s="399"/>
      <c r="G35" s="30">
        <f>G33-G34</f>
        <v>119000</v>
      </c>
      <c r="H35" s="31"/>
      <c r="I35" s="32">
        <f t="shared" si="3"/>
        <v>160.8108108108108</v>
      </c>
      <c r="J35" s="33"/>
      <c r="K35" s="233">
        <f t="shared" si="4"/>
        <v>92.03980099502488</v>
      </c>
      <c r="M35" s="235" t="e">
        <f>F35-#REF!</f>
        <v>#REF!</v>
      </c>
    </row>
    <row r="36" spans="1:13" s="24" customFormat="1" ht="20.25" customHeight="1">
      <c r="A36" s="395">
        <f>A33+1</f>
        <v>7</v>
      </c>
      <c r="B36" s="396" t="s">
        <v>5</v>
      </c>
      <c r="C36" s="397">
        <v>66000</v>
      </c>
      <c r="D36" s="397">
        <f>C36</f>
        <v>66000</v>
      </c>
      <c r="E36" s="398">
        <v>56800</v>
      </c>
      <c r="F36" s="397">
        <f>E36</f>
        <v>56800</v>
      </c>
      <c r="G36" s="36">
        <v>60000</v>
      </c>
      <c r="H36" s="27">
        <f>G36</f>
        <v>60000</v>
      </c>
      <c r="I36" s="32">
        <f t="shared" si="3"/>
        <v>105.63380281690141</v>
      </c>
      <c r="J36" s="33">
        <f t="shared" si="3"/>
        <v>105.63380281690141</v>
      </c>
      <c r="K36" s="233">
        <f t="shared" si="4"/>
        <v>86.06060606060606</v>
      </c>
      <c r="M36" s="235" t="e">
        <f>F36-#REF!</f>
        <v>#REF!</v>
      </c>
    </row>
    <row r="37" spans="1:13" s="24" customFormat="1" ht="20.25" customHeight="1">
      <c r="A37" s="395">
        <f>A36+1</f>
        <v>8</v>
      </c>
      <c r="B37" s="396" t="s">
        <v>36</v>
      </c>
      <c r="C37" s="397">
        <v>30000</v>
      </c>
      <c r="D37" s="397">
        <f>D39</f>
        <v>25000</v>
      </c>
      <c r="E37" s="398">
        <v>29900</v>
      </c>
      <c r="F37" s="397">
        <f>F39</f>
        <v>25020</v>
      </c>
      <c r="G37" s="36">
        <v>26000</v>
      </c>
      <c r="H37" s="27">
        <f>SUM(H38:H39)</f>
        <v>21000</v>
      </c>
      <c r="I37" s="32">
        <f t="shared" si="3"/>
        <v>86.95652173913044</v>
      </c>
      <c r="J37" s="33">
        <f t="shared" si="3"/>
        <v>83.93285371702638</v>
      </c>
      <c r="K37" s="233">
        <f t="shared" si="4"/>
        <v>99.66666666666667</v>
      </c>
      <c r="M37" s="235" t="e">
        <f>F37-#REF!</f>
        <v>#REF!</v>
      </c>
    </row>
    <row r="38" spans="1:13" s="12" customFormat="1" ht="20.25" customHeight="1">
      <c r="A38" s="411"/>
      <c r="B38" s="412" t="s">
        <v>486</v>
      </c>
      <c r="C38" s="413">
        <v>5000</v>
      </c>
      <c r="D38" s="413"/>
      <c r="E38" s="414">
        <f>E37-E39</f>
        <v>4880</v>
      </c>
      <c r="F38" s="413"/>
      <c r="G38" s="31">
        <f>G37-G39</f>
        <v>5000</v>
      </c>
      <c r="H38" s="31"/>
      <c r="I38" s="32">
        <f t="shared" si="3"/>
        <v>102.45901639344261</v>
      </c>
      <c r="J38" s="33"/>
      <c r="K38" s="233">
        <f t="shared" si="4"/>
        <v>97.6</v>
      </c>
      <c r="M38" s="235" t="e">
        <f>F38-#REF!</f>
        <v>#REF!</v>
      </c>
    </row>
    <row r="39" spans="1:13" s="12" customFormat="1" ht="20.25" customHeight="1">
      <c r="A39" s="411"/>
      <c r="B39" s="412" t="s">
        <v>618</v>
      </c>
      <c r="C39" s="413">
        <v>25000</v>
      </c>
      <c r="D39" s="413">
        <f>C39</f>
        <v>25000</v>
      </c>
      <c r="E39" s="414">
        <v>25020</v>
      </c>
      <c r="F39" s="413">
        <f>E39</f>
        <v>25020</v>
      </c>
      <c r="G39" s="31">
        <v>21000</v>
      </c>
      <c r="H39" s="31">
        <f>G39</f>
        <v>21000</v>
      </c>
      <c r="I39" s="32">
        <f t="shared" si="3"/>
        <v>83.93285371702638</v>
      </c>
      <c r="J39" s="33">
        <f t="shared" si="3"/>
        <v>83.93285371702638</v>
      </c>
      <c r="K39" s="233">
        <f t="shared" si="4"/>
        <v>100.07999999999998</v>
      </c>
      <c r="M39" s="235" t="e">
        <f>F39-#REF!</f>
        <v>#REF!</v>
      </c>
    </row>
    <row r="40" spans="1:13" s="13" customFormat="1" ht="39" customHeight="1">
      <c r="A40" s="405"/>
      <c r="B40" s="406" t="s">
        <v>616</v>
      </c>
      <c r="C40" s="403">
        <v>5500</v>
      </c>
      <c r="D40" s="403">
        <v>5500</v>
      </c>
      <c r="E40" s="404">
        <v>4400</v>
      </c>
      <c r="F40" s="403">
        <f>E40</f>
        <v>4400</v>
      </c>
      <c r="G40" s="38">
        <v>4300</v>
      </c>
      <c r="H40" s="39">
        <f>G40</f>
        <v>4300</v>
      </c>
      <c r="I40" s="32">
        <f t="shared" si="3"/>
        <v>97.72727272727273</v>
      </c>
      <c r="J40" s="33">
        <f t="shared" si="3"/>
        <v>97.72727272727273</v>
      </c>
      <c r="K40" s="233">
        <f t="shared" si="4"/>
        <v>80</v>
      </c>
      <c r="M40" s="235" t="e">
        <f>F40-#REF!</f>
        <v>#REF!</v>
      </c>
    </row>
    <row r="41" spans="1:13" s="13" customFormat="1" ht="20.25" customHeight="1" hidden="1">
      <c r="A41" s="405"/>
      <c r="B41" s="406" t="s">
        <v>37</v>
      </c>
      <c r="C41" s="403">
        <v>3700</v>
      </c>
      <c r="D41" s="404">
        <f>C41</f>
        <v>3700</v>
      </c>
      <c r="E41" s="404"/>
      <c r="F41" s="404">
        <f>E41</f>
        <v>0</v>
      </c>
      <c r="G41" s="38"/>
      <c r="H41" s="39"/>
      <c r="I41" s="32" t="e">
        <f t="shared" si="3"/>
        <v>#DIV/0!</v>
      </c>
      <c r="J41" s="33" t="e">
        <f t="shared" si="3"/>
        <v>#DIV/0!</v>
      </c>
      <c r="K41" s="233">
        <f t="shared" si="4"/>
        <v>0</v>
      </c>
      <c r="M41" s="235" t="e">
        <f>F41-#REF!</f>
        <v>#REF!</v>
      </c>
    </row>
    <row r="42" spans="1:13" s="24" customFormat="1" ht="20.25" customHeight="1">
      <c r="A42" s="407">
        <v>9</v>
      </c>
      <c r="B42" s="396" t="s">
        <v>38</v>
      </c>
      <c r="C42" s="397">
        <v>1500</v>
      </c>
      <c r="D42" s="398">
        <f>C42</f>
        <v>1500</v>
      </c>
      <c r="E42" s="398">
        <v>2400</v>
      </c>
      <c r="F42" s="398">
        <f>E42</f>
        <v>2400</v>
      </c>
      <c r="G42" s="36">
        <v>1500</v>
      </c>
      <c r="H42" s="27">
        <f>G42</f>
        <v>1500</v>
      </c>
      <c r="I42" s="32">
        <f t="shared" si="3"/>
        <v>62.5</v>
      </c>
      <c r="J42" s="33">
        <f t="shared" si="3"/>
        <v>62.5</v>
      </c>
      <c r="K42" s="233">
        <f t="shared" si="4"/>
        <v>160</v>
      </c>
      <c r="M42" s="235" t="e">
        <f>F42-#REF!</f>
        <v>#REF!</v>
      </c>
    </row>
    <row r="43" spans="1:13" s="24" customFormat="1" ht="20.25" customHeight="1">
      <c r="A43" s="395">
        <v>10</v>
      </c>
      <c r="B43" s="396" t="s">
        <v>39</v>
      </c>
      <c r="C43" s="397">
        <v>27000</v>
      </c>
      <c r="D43" s="398">
        <f>C43</f>
        <v>27000</v>
      </c>
      <c r="E43" s="398">
        <v>27000</v>
      </c>
      <c r="F43" s="398">
        <f>E43</f>
        <v>27000</v>
      </c>
      <c r="G43" s="36">
        <v>25000</v>
      </c>
      <c r="H43" s="27">
        <f>G43</f>
        <v>25000</v>
      </c>
      <c r="I43" s="32">
        <f t="shared" si="3"/>
        <v>92.5925925925926</v>
      </c>
      <c r="J43" s="33">
        <f t="shared" si="3"/>
        <v>92.5925925925926</v>
      </c>
      <c r="K43" s="233">
        <f t="shared" si="4"/>
        <v>100</v>
      </c>
      <c r="M43" s="235" t="e">
        <f>F43-#REF!</f>
        <v>#REF!</v>
      </c>
    </row>
    <row r="44" spans="1:13" s="24" customFormat="1" ht="20.25" customHeight="1">
      <c r="A44" s="395">
        <v>11</v>
      </c>
      <c r="B44" s="396" t="s">
        <v>7</v>
      </c>
      <c r="C44" s="397">
        <v>95000</v>
      </c>
      <c r="D44" s="398">
        <f>D45+D48</f>
        <v>95000</v>
      </c>
      <c r="E44" s="398">
        <f>E45+E48</f>
        <v>146400</v>
      </c>
      <c r="F44" s="398">
        <f>F45+F48</f>
        <v>146400</v>
      </c>
      <c r="G44" s="27">
        <f>G45+G48</f>
        <v>125000</v>
      </c>
      <c r="H44" s="27">
        <f>H45+H48</f>
        <v>125000</v>
      </c>
      <c r="I44" s="32">
        <f t="shared" si="3"/>
        <v>85.38251366120218</v>
      </c>
      <c r="J44" s="33">
        <f t="shared" si="3"/>
        <v>85.38251366120218</v>
      </c>
      <c r="K44" s="233">
        <f t="shared" si="4"/>
        <v>154.10526315789474</v>
      </c>
      <c r="M44" s="235" t="e">
        <f>F44-#REF!</f>
        <v>#REF!</v>
      </c>
    </row>
    <row r="45" spans="1:13" s="12" customFormat="1" ht="20.25" customHeight="1">
      <c r="A45" s="231"/>
      <c r="B45" s="408" t="s">
        <v>40</v>
      </c>
      <c r="C45" s="399">
        <v>39900</v>
      </c>
      <c r="D45" s="400">
        <f>C45</f>
        <v>39900</v>
      </c>
      <c r="E45" s="400">
        <v>71630</v>
      </c>
      <c r="F45" s="400">
        <f>E45</f>
        <v>71630</v>
      </c>
      <c r="G45" s="30">
        <v>58400</v>
      </c>
      <c r="H45" s="31">
        <f aca="true" t="shared" si="10" ref="H45:H50">G45</f>
        <v>58400</v>
      </c>
      <c r="I45" s="32">
        <f t="shared" si="3"/>
        <v>81.53008515984924</v>
      </c>
      <c r="J45" s="33">
        <f t="shared" si="3"/>
        <v>81.53008515984924</v>
      </c>
      <c r="K45" s="233">
        <f t="shared" si="4"/>
        <v>179.52380952380952</v>
      </c>
      <c r="M45" s="235" t="e">
        <f>F45-#REF!</f>
        <v>#REF!</v>
      </c>
    </row>
    <row r="46" spans="1:13" s="12" customFormat="1" ht="20.25" customHeight="1">
      <c r="A46" s="401"/>
      <c r="B46" s="406" t="s">
        <v>41</v>
      </c>
      <c r="C46" s="403">
        <v>31600</v>
      </c>
      <c r="D46" s="400">
        <f aca="true" t="shared" si="11" ref="D46:F48">C46</f>
        <v>31600</v>
      </c>
      <c r="E46" s="404">
        <v>58400</v>
      </c>
      <c r="F46" s="400">
        <f t="shared" si="11"/>
        <v>58400</v>
      </c>
      <c r="G46" s="38">
        <v>40100</v>
      </c>
      <c r="H46" s="39">
        <f t="shared" si="10"/>
        <v>40100</v>
      </c>
      <c r="I46" s="32">
        <f t="shared" si="3"/>
        <v>68.66438356164383</v>
      </c>
      <c r="J46" s="33">
        <f t="shared" si="3"/>
        <v>68.66438356164383</v>
      </c>
      <c r="K46" s="233">
        <f t="shared" si="4"/>
        <v>184.81012658227849</v>
      </c>
      <c r="M46" s="235" t="e">
        <f>F46-#REF!</f>
        <v>#REF!</v>
      </c>
    </row>
    <row r="47" spans="1:13" s="12" customFormat="1" ht="20.25" customHeight="1">
      <c r="A47" s="401"/>
      <c r="B47" s="402" t="s">
        <v>617</v>
      </c>
      <c r="C47" s="403">
        <f>C45-C46</f>
        <v>8300</v>
      </c>
      <c r="D47" s="400">
        <f t="shared" si="11"/>
        <v>8300</v>
      </c>
      <c r="E47" s="404">
        <f>E45-E46</f>
        <v>13230</v>
      </c>
      <c r="F47" s="400">
        <f t="shared" si="11"/>
        <v>13230</v>
      </c>
      <c r="G47" s="38">
        <f>G45-G46</f>
        <v>18300</v>
      </c>
      <c r="H47" s="39">
        <f t="shared" si="10"/>
        <v>18300</v>
      </c>
      <c r="I47" s="32">
        <f t="shared" si="3"/>
        <v>138.3219954648526</v>
      </c>
      <c r="J47" s="33">
        <f t="shared" si="3"/>
        <v>138.3219954648526</v>
      </c>
      <c r="K47" s="233">
        <f t="shared" si="4"/>
        <v>159.3975903614458</v>
      </c>
      <c r="M47" s="235" t="e">
        <f>F47-#REF!</f>
        <v>#REF!</v>
      </c>
    </row>
    <row r="48" spans="1:13" s="12" customFormat="1" ht="20.25" customHeight="1">
      <c r="A48" s="231"/>
      <c r="B48" s="408" t="s">
        <v>42</v>
      </c>
      <c r="C48" s="399">
        <v>55100</v>
      </c>
      <c r="D48" s="400">
        <f t="shared" si="11"/>
        <v>55100</v>
      </c>
      <c r="E48" s="400">
        <v>74770</v>
      </c>
      <c r="F48" s="400">
        <f t="shared" si="11"/>
        <v>74770</v>
      </c>
      <c r="G48" s="30">
        <v>66600</v>
      </c>
      <c r="H48" s="31">
        <f t="shared" si="10"/>
        <v>66600</v>
      </c>
      <c r="I48" s="32">
        <f t="shared" si="3"/>
        <v>89.07315768356293</v>
      </c>
      <c r="J48" s="33">
        <f t="shared" si="3"/>
        <v>89.07315768356293</v>
      </c>
      <c r="K48" s="233">
        <f t="shared" si="4"/>
        <v>135.69872958257713</v>
      </c>
      <c r="M48" s="235" t="e">
        <f>F48-#REF!</f>
        <v>#REF!</v>
      </c>
    </row>
    <row r="49" spans="1:13" s="24" customFormat="1" ht="42" customHeight="1">
      <c r="A49" s="395">
        <v>12</v>
      </c>
      <c r="B49" s="396" t="s">
        <v>43</v>
      </c>
      <c r="C49" s="397">
        <v>400</v>
      </c>
      <c r="D49" s="398">
        <f>C49</f>
        <v>400</v>
      </c>
      <c r="E49" s="398">
        <v>500</v>
      </c>
      <c r="F49" s="398">
        <f>E49</f>
        <v>500</v>
      </c>
      <c r="G49" s="36">
        <v>300</v>
      </c>
      <c r="H49" s="27">
        <f t="shared" si="10"/>
        <v>300</v>
      </c>
      <c r="I49" s="32">
        <f t="shared" si="3"/>
        <v>60</v>
      </c>
      <c r="J49" s="33">
        <f t="shared" si="3"/>
        <v>60</v>
      </c>
      <c r="K49" s="233">
        <f t="shared" si="4"/>
        <v>125</v>
      </c>
      <c r="M49" s="235" t="e">
        <f>F49-#REF!</f>
        <v>#REF!</v>
      </c>
    </row>
    <row r="50" spans="1:13" s="24" customFormat="1" ht="20.25" customHeight="1">
      <c r="A50" s="395">
        <v>13</v>
      </c>
      <c r="B50" s="396" t="s">
        <v>44</v>
      </c>
      <c r="C50" s="397">
        <v>20000</v>
      </c>
      <c r="D50" s="397">
        <f>C50</f>
        <v>20000</v>
      </c>
      <c r="E50" s="398">
        <v>28000</v>
      </c>
      <c r="F50" s="397">
        <f>E50</f>
        <v>28000</v>
      </c>
      <c r="G50" s="36">
        <v>25000</v>
      </c>
      <c r="H50" s="27">
        <f t="shared" si="10"/>
        <v>25000</v>
      </c>
      <c r="I50" s="32">
        <f t="shared" si="3"/>
        <v>89.28571428571429</v>
      </c>
      <c r="J50" s="33">
        <f t="shared" si="3"/>
        <v>89.28571428571429</v>
      </c>
      <c r="K50" s="233">
        <f t="shared" si="4"/>
        <v>140</v>
      </c>
      <c r="M50" s="235" t="e">
        <f>F50-#REF!</f>
        <v>#REF!</v>
      </c>
    </row>
    <row r="51" spans="1:13" s="24" customFormat="1" ht="20.25" customHeight="1" hidden="1">
      <c r="A51" s="231"/>
      <c r="B51" s="408" t="s">
        <v>319</v>
      </c>
      <c r="C51" s="399"/>
      <c r="D51" s="399"/>
      <c r="E51" s="400"/>
      <c r="F51" s="399"/>
      <c r="G51" s="41"/>
      <c r="H51" s="274"/>
      <c r="I51" s="32"/>
      <c r="J51" s="33"/>
      <c r="K51" s="233" t="e">
        <f t="shared" si="4"/>
        <v>#DIV/0!</v>
      </c>
      <c r="M51" s="235" t="e">
        <f>F51-#REF!</f>
        <v>#REF!</v>
      </c>
    </row>
    <row r="52" spans="1:13" s="24" customFormat="1" ht="20.25" customHeight="1" hidden="1">
      <c r="A52" s="231"/>
      <c r="B52" s="408" t="s">
        <v>320</v>
      </c>
      <c r="C52" s="399"/>
      <c r="D52" s="399"/>
      <c r="E52" s="400"/>
      <c r="F52" s="399"/>
      <c r="G52" s="36"/>
      <c r="H52" s="27"/>
      <c r="I52" s="32"/>
      <c r="J52" s="33"/>
      <c r="K52" s="233" t="e">
        <f t="shared" si="4"/>
        <v>#DIV/0!</v>
      </c>
      <c r="M52" s="235" t="e">
        <f>F52-#REF!</f>
        <v>#REF!</v>
      </c>
    </row>
    <row r="53" spans="1:13" s="12" customFormat="1" ht="18.75" hidden="1">
      <c r="A53" s="231"/>
      <c r="B53" s="408" t="s">
        <v>321</v>
      </c>
      <c r="C53" s="399"/>
      <c r="D53" s="399"/>
      <c r="E53" s="400"/>
      <c r="F53" s="399"/>
      <c r="G53" s="42"/>
      <c r="H53" s="43"/>
      <c r="I53" s="32"/>
      <c r="J53" s="33"/>
      <c r="K53" s="233" t="e">
        <f t="shared" si="4"/>
        <v>#DIV/0!</v>
      </c>
      <c r="M53" s="235" t="e">
        <f>F53-#REF!</f>
        <v>#REF!</v>
      </c>
    </row>
    <row r="54" spans="1:13" s="423" customFormat="1" ht="20.25" customHeight="1">
      <c r="A54" s="415">
        <f>A50+1</f>
        <v>14</v>
      </c>
      <c r="B54" s="416" t="s">
        <v>45</v>
      </c>
      <c r="C54" s="417">
        <v>8000</v>
      </c>
      <c r="D54" s="417">
        <f>C54</f>
        <v>8000</v>
      </c>
      <c r="E54" s="417">
        <v>13230</v>
      </c>
      <c r="F54" s="417">
        <f>F55+F56</f>
        <v>11130</v>
      </c>
      <c r="G54" s="418">
        <v>9000</v>
      </c>
      <c r="H54" s="419">
        <f>H56+H55</f>
        <v>7250</v>
      </c>
      <c r="I54" s="420">
        <f t="shared" si="3"/>
        <v>68.02721088435374</v>
      </c>
      <c r="J54" s="421">
        <f t="shared" si="3"/>
        <v>65.1392632524708</v>
      </c>
      <c r="K54" s="422">
        <f t="shared" si="4"/>
        <v>165.375</v>
      </c>
      <c r="M54" s="235" t="e">
        <f>F54-#REF!</f>
        <v>#REF!</v>
      </c>
    </row>
    <row r="55" spans="1:13" s="35" customFormat="1" ht="20.25" customHeight="1">
      <c r="A55" s="424"/>
      <c r="B55" s="425" t="s">
        <v>503</v>
      </c>
      <c r="C55" s="426"/>
      <c r="D55" s="426"/>
      <c r="E55" s="426">
        <v>3000</v>
      </c>
      <c r="F55" s="426">
        <v>900</v>
      </c>
      <c r="G55" s="427">
        <v>2500</v>
      </c>
      <c r="H55" s="426">
        <v>750</v>
      </c>
      <c r="I55" s="428"/>
      <c r="J55" s="429"/>
      <c r="K55" s="430"/>
      <c r="M55" s="235" t="e">
        <f>F55-#REF!</f>
        <v>#REF!</v>
      </c>
    </row>
    <row r="56" spans="1:13" s="35" customFormat="1" ht="20.25" customHeight="1">
      <c r="A56" s="424"/>
      <c r="B56" s="425" t="s">
        <v>502</v>
      </c>
      <c r="C56" s="426"/>
      <c r="D56" s="426"/>
      <c r="E56" s="426">
        <v>10230</v>
      </c>
      <c r="F56" s="426">
        <f>E56</f>
        <v>10230</v>
      </c>
      <c r="G56" s="427">
        <v>6500</v>
      </c>
      <c r="H56" s="431">
        <v>6500</v>
      </c>
      <c r="I56" s="428"/>
      <c r="J56" s="429"/>
      <c r="K56" s="430"/>
      <c r="M56" s="235" t="e">
        <f>F56-#REF!</f>
        <v>#REF!</v>
      </c>
    </row>
    <row r="57" spans="1:13" s="423" customFormat="1" ht="20.25" customHeight="1">
      <c r="A57" s="415">
        <f>A54+1</f>
        <v>15</v>
      </c>
      <c r="B57" s="416" t="s">
        <v>8</v>
      </c>
      <c r="C57" s="417">
        <v>13700</v>
      </c>
      <c r="D57" s="417">
        <f>D59</f>
        <v>3500</v>
      </c>
      <c r="E57" s="417">
        <v>25310</v>
      </c>
      <c r="F57" s="417">
        <f>F59</f>
        <v>9639</v>
      </c>
      <c r="G57" s="418">
        <v>18000</v>
      </c>
      <c r="H57" s="419">
        <f>SUM(H59)</f>
        <v>3287</v>
      </c>
      <c r="I57" s="420">
        <f t="shared" si="3"/>
        <v>71.11813512445674</v>
      </c>
      <c r="J57" s="421">
        <f t="shared" si="3"/>
        <v>34.10104782653802</v>
      </c>
      <c r="K57" s="422">
        <f t="shared" si="4"/>
        <v>184.74452554744525</v>
      </c>
      <c r="M57" s="235" t="e">
        <f>F57-#REF!</f>
        <v>#REF!</v>
      </c>
    </row>
    <row r="58" spans="1:13" s="12" customFormat="1" ht="37.5">
      <c r="A58" s="401"/>
      <c r="B58" s="406" t="s">
        <v>424</v>
      </c>
      <c r="C58" s="404">
        <f>8000+2200</f>
        <v>10200</v>
      </c>
      <c r="D58" s="404"/>
      <c r="E58" s="404">
        <v>17771</v>
      </c>
      <c r="F58" s="404"/>
      <c r="G58" s="42">
        <v>14713</v>
      </c>
      <c r="H58" s="27"/>
      <c r="I58" s="32">
        <f t="shared" si="3"/>
        <v>82.79218952225536</v>
      </c>
      <c r="J58" s="33"/>
      <c r="K58" s="233">
        <f t="shared" si="4"/>
        <v>174.22549019607843</v>
      </c>
      <c r="M58" s="235" t="e">
        <f>F58-#REF!</f>
        <v>#REF!</v>
      </c>
    </row>
    <row r="59" spans="1:13" s="12" customFormat="1" ht="18.75">
      <c r="A59" s="401"/>
      <c r="B59" s="406" t="s">
        <v>487</v>
      </c>
      <c r="C59" s="404">
        <v>3500</v>
      </c>
      <c r="D59" s="404">
        <v>3500</v>
      </c>
      <c r="E59" s="404">
        <f>7539+2100</f>
        <v>9639</v>
      </c>
      <c r="F59" s="404">
        <f>E59</f>
        <v>9639</v>
      </c>
      <c r="G59" s="43">
        <f>G60</f>
        <v>3287</v>
      </c>
      <c r="H59" s="43">
        <f>H60</f>
        <v>3287</v>
      </c>
      <c r="I59" s="32">
        <f t="shared" si="3"/>
        <v>34.10104782653802</v>
      </c>
      <c r="J59" s="33">
        <f t="shared" si="3"/>
        <v>34.10104782653802</v>
      </c>
      <c r="K59" s="233"/>
      <c r="M59" s="235" t="e">
        <f>F59-#REF!</f>
        <v>#REF!</v>
      </c>
    </row>
    <row r="60" spans="1:13" s="12" customFormat="1" ht="20.25" customHeight="1">
      <c r="A60" s="401"/>
      <c r="B60" s="402" t="s">
        <v>488</v>
      </c>
      <c r="C60" s="404">
        <f>C57-C58</f>
        <v>3500</v>
      </c>
      <c r="D60" s="404">
        <f>C60</f>
        <v>3500</v>
      </c>
      <c r="E60" s="404">
        <f>3650+2100</f>
        <v>5750</v>
      </c>
      <c r="F60" s="404">
        <f>E60</f>
        <v>5750</v>
      </c>
      <c r="G60" s="43">
        <v>3287</v>
      </c>
      <c r="H60" s="43">
        <v>3287</v>
      </c>
      <c r="I60" s="32">
        <f t="shared" si="3"/>
        <v>57.165217391304346</v>
      </c>
      <c r="J60" s="33">
        <f t="shared" si="3"/>
        <v>57.165217391304346</v>
      </c>
      <c r="K60" s="233">
        <f t="shared" si="4"/>
        <v>164.28571428571428</v>
      </c>
      <c r="M60" s="235" t="e">
        <f>F60-#REF!</f>
        <v>#REF!</v>
      </c>
    </row>
    <row r="61" spans="1:13" s="423" customFormat="1" ht="21" customHeight="1">
      <c r="A61" s="415">
        <f>A57+1</f>
        <v>16</v>
      </c>
      <c r="B61" s="416" t="s">
        <v>46</v>
      </c>
      <c r="C61" s="432">
        <v>4000</v>
      </c>
      <c r="D61" s="432">
        <f>C61</f>
        <v>4000</v>
      </c>
      <c r="E61" s="417">
        <v>6050</v>
      </c>
      <c r="F61" s="432">
        <f>E61</f>
        <v>6050</v>
      </c>
      <c r="G61" s="418">
        <v>4000</v>
      </c>
      <c r="H61" s="419">
        <f>G61</f>
        <v>4000</v>
      </c>
      <c r="I61" s="420">
        <f t="shared" si="3"/>
        <v>66.11570247933885</v>
      </c>
      <c r="J61" s="421">
        <f t="shared" si="3"/>
        <v>66.11570247933885</v>
      </c>
      <c r="K61" s="422">
        <f t="shared" si="4"/>
        <v>151.25</v>
      </c>
      <c r="M61" s="235" t="e">
        <f>F61-#REF!</f>
        <v>#REF!</v>
      </c>
    </row>
    <row r="62" spans="1:13" s="12" customFormat="1" ht="20.25" customHeight="1">
      <c r="A62" s="395" t="s">
        <v>10</v>
      </c>
      <c r="B62" s="396" t="s">
        <v>47</v>
      </c>
      <c r="C62" s="397">
        <f>SUM(C63:C66)</f>
        <v>9000</v>
      </c>
      <c r="D62" s="397"/>
      <c r="E62" s="397">
        <v>14000</v>
      </c>
      <c r="F62" s="397"/>
      <c r="G62" s="397">
        <f>SUM(G63:G66)</f>
        <v>9000</v>
      </c>
      <c r="H62" s="43"/>
      <c r="I62" s="32">
        <f>G62/E62*100</f>
        <v>64.28571428571429</v>
      </c>
      <c r="J62" s="33"/>
      <c r="K62" s="233"/>
      <c r="M62" s="235" t="e">
        <f>F62-#REF!</f>
        <v>#REF!</v>
      </c>
    </row>
    <row r="63" spans="1:13" s="12" customFormat="1" ht="20.25" customHeight="1" hidden="1">
      <c r="A63" s="231">
        <v>1</v>
      </c>
      <c r="B63" s="232" t="s">
        <v>48</v>
      </c>
      <c r="C63" s="399">
        <v>8150</v>
      </c>
      <c r="D63" s="399"/>
      <c r="E63" s="400">
        <f>'[9]TT69_02'!$F$82</f>
        <v>7200</v>
      </c>
      <c r="F63" s="399"/>
      <c r="G63" s="400">
        <v>9000</v>
      </c>
      <c r="H63" s="43"/>
      <c r="I63" s="32"/>
      <c r="J63" s="33"/>
      <c r="K63" s="233"/>
      <c r="M63" s="235" t="e">
        <f>F63-#REF!</f>
        <v>#REF!</v>
      </c>
    </row>
    <row r="64" spans="1:13" s="24" customFormat="1" ht="20.25" customHeight="1" hidden="1">
      <c r="A64" s="231">
        <v>2</v>
      </c>
      <c r="B64" s="232" t="s">
        <v>50</v>
      </c>
      <c r="C64" s="399"/>
      <c r="D64" s="399"/>
      <c r="E64" s="400">
        <f>'[9]TT69_02'!$F$79</f>
        <v>2</v>
      </c>
      <c r="F64" s="399"/>
      <c r="G64" s="400"/>
      <c r="H64" s="27"/>
      <c r="I64" s="32"/>
      <c r="J64" s="33"/>
      <c r="K64" s="233"/>
      <c r="M64" s="235" t="e">
        <f>F64-#REF!</f>
        <v>#REF!</v>
      </c>
    </row>
    <row r="65" spans="1:13" s="24" customFormat="1" ht="20.25" customHeight="1" hidden="1">
      <c r="A65" s="231">
        <v>3</v>
      </c>
      <c r="B65" s="232" t="s">
        <v>49</v>
      </c>
      <c r="C65" s="399">
        <v>850</v>
      </c>
      <c r="D65" s="399"/>
      <c r="E65" s="400">
        <f>'[9]TT69_02'!$F$80</f>
        <v>790</v>
      </c>
      <c r="F65" s="399"/>
      <c r="G65" s="400"/>
      <c r="H65" s="97"/>
      <c r="I65" s="32"/>
      <c r="J65" s="33"/>
      <c r="K65" s="233"/>
      <c r="M65" s="235" t="e">
        <f>F65-#REF!</f>
        <v>#REF!</v>
      </c>
    </row>
    <row r="66" spans="1:13" s="24" customFormat="1" ht="20.25" customHeight="1" hidden="1">
      <c r="A66" s="231">
        <v>4</v>
      </c>
      <c r="B66" s="409" t="s">
        <v>51</v>
      </c>
      <c r="C66" s="409"/>
      <c r="D66" s="409"/>
      <c r="E66" s="410">
        <f>'[9]TT69_02'!$F$81</f>
        <v>8</v>
      </c>
      <c r="F66" s="409"/>
      <c r="G66" s="410"/>
      <c r="H66" s="97"/>
      <c r="I66" s="32"/>
      <c r="J66" s="33"/>
      <c r="K66" s="233"/>
      <c r="M66" s="235" t="e">
        <f>F66-#REF!</f>
        <v>#REF!</v>
      </c>
    </row>
    <row r="67" spans="1:13" s="423" customFormat="1" ht="18.75">
      <c r="A67" s="433" t="s">
        <v>14</v>
      </c>
      <c r="B67" s="434" t="s">
        <v>52</v>
      </c>
      <c r="C67" s="450">
        <v>39094</v>
      </c>
      <c r="D67" s="450">
        <f>C67</f>
        <v>39094</v>
      </c>
      <c r="E67" s="450">
        <v>39094</v>
      </c>
      <c r="F67" s="450">
        <f>E67</f>
        <v>39094</v>
      </c>
      <c r="G67" s="450">
        <v>37397</v>
      </c>
      <c r="H67" s="450">
        <f>G67</f>
        <v>37397</v>
      </c>
      <c r="I67" s="563">
        <f>G67/E67*100</f>
        <v>95.65918043689568</v>
      </c>
      <c r="J67" s="563">
        <f>H67/F67*100</f>
        <v>95.65918043689568</v>
      </c>
      <c r="K67" s="435"/>
      <c r="M67" s="235" t="e">
        <f>F67-#REF!</f>
        <v>#REF!</v>
      </c>
    </row>
    <row r="68" spans="1:11" ht="18.75">
      <c r="A68" s="47"/>
      <c r="B68" s="48"/>
      <c r="C68" s="49"/>
      <c r="D68" s="49"/>
      <c r="E68" s="12"/>
      <c r="F68" s="12"/>
      <c r="G68" s="12"/>
      <c r="H68" s="66"/>
      <c r="I68" s="12"/>
      <c r="J68" s="12"/>
      <c r="K68" s="12"/>
    </row>
    <row r="69" spans="1:11" ht="18.75">
      <c r="A69" s="47"/>
      <c r="B69" s="48"/>
      <c r="C69" s="49"/>
      <c r="D69" s="49"/>
      <c r="E69" s="12"/>
      <c r="F69" s="49"/>
      <c r="G69" s="12"/>
      <c r="H69" s="49"/>
      <c r="I69" s="12"/>
      <c r="J69" s="12"/>
      <c r="K69" s="12"/>
    </row>
    <row r="70" spans="1:11" ht="18.75">
      <c r="A70" s="47"/>
      <c r="B70" s="48"/>
      <c r="C70" s="49"/>
      <c r="D70" s="49"/>
      <c r="E70" s="12"/>
      <c r="F70" s="49"/>
      <c r="G70" s="12"/>
      <c r="H70" s="49"/>
      <c r="I70" s="12"/>
      <c r="J70" s="12"/>
      <c r="K70" s="12"/>
    </row>
  </sheetData>
  <sheetProtection/>
  <mergeCells count="19">
    <mergeCell ref="G1:J1"/>
    <mergeCell ref="A2:J2"/>
    <mergeCell ref="A3:J3"/>
    <mergeCell ref="A7:A9"/>
    <mergeCell ref="B7:B9"/>
    <mergeCell ref="C7:D7"/>
    <mergeCell ref="E7:F7"/>
    <mergeCell ref="G7:H7"/>
    <mergeCell ref="I7:J7"/>
    <mergeCell ref="K7:K9"/>
    <mergeCell ref="L7:L9"/>
    <mergeCell ref="C8:C9"/>
    <mergeCell ref="D8:D9"/>
    <mergeCell ref="E8:E9"/>
    <mergeCell ref="F8:F9"/>
    <mergeCell ref="G8:G9"/>
    <mergeCell ref="H8:H9"/>
    <mergeCell ref="I8:I9"/>
    <mergeCell ref="J8:J9"/>
  </mergeCells>
  <printOptions horizontalCentered="1"/>
  <pageMargins left="0.31" right="0.35" top="0.34" bottom="0.42" header="0.17" footer="0.2"/>
  <pageSetup fitToHeight="5" horizontalDpi="600" verticalDpi="600" orientation="portrait" paperSize="9" scale="59" r:id="rId1"/>
  <headerFooter alignWithMargins="0">
    <oddFooter>&amp;C&amp;".VnTime,Italic"&amp;8
</oddFooter>
  </headerFooter>
</worksheet>
</file>

<file path=xl/worksheets/sheet3.xml><?xml version="1.0" encoding="utf-8"?>
<worksheet xmlns="http://schemas.openxmlformats.org/spreadsheetml/2006/main" xmlns:r="http://schemas.openxmlformats.org/officeDocument/2006/relationships">
  <dimension ref="A1:S151"/>
  <sheetViews>
    <sheetView view="pageBreakPreview" zoomScale="85" zoomScaleSheetLayoutView="85" zoomScalePageLayoutView="0" workbookViewId="0" topLeftCell="A112">
      <selection activeCell="B123" sqref="B123"/>
    </sheetView>
  </sheetViews>
  <sheetFormatPr defaultColWidth="8.796875" defaultRowHeight="15"/>
  <cols>
    <col min="1" max="1" width="5.09765625" style="5" customWidth="1"/>
    <col min="2" max="2" width="60.59765625" style="5" customWidth="1"/>
    <col min="3" max="4" width="9.59765625" style="84" customWidth="1"/>
    <col min="5" max="5" width="9.3984375" style="5" customWidth="1"/>
    <col min="6" max="6" width="7.09765625" style="5" customWidth="1"/>
    <col min="7" max="14" width="13.69921875" style="5" hidden="1" customWidth="1"/>
    <col min="15" max="16384" width="9" style="5" customWidth="1"/>
  </cols>
  <sheetData>
    <row r="1" spans="1:14" ht="21" customHeight="1">
      <c r="A1" s="2"/>
      <c r="B1" s="2"/>
      <c r="C1" s="589" t="s">
        <v>69</v>
      </c>
      <c r="D1" s="589"/>
      <c r="E1" s="589"/>
      <c r="F1" s="589"/>
      <c r="G1" s="52"/>
      <c r="H1" s="52"/>
      <c r="I1" s="52"/>
      <c r="J1" s="52"/>
      <c r="K1" s="52"/>
      <c r="L1" s="52"/>
      <c r="M1" s="52"/>
      <c r="N1" s="52"/>
    </row>
    <row r="2" spans="1:14" ht="12.75" customHeight="1">
      <c r="A2" s="53"/>
      <c r="B2" s="53"/>
      <c r="C2" s="65"/>
      <c r="D2" s="65"/>
      <c r="E2" s="4"/>
      <c r="F2" s="4"/>
      <c r="G2" s="4"/>
      <c r="H2" s="4"/>
      <c r="I2" s="4"/>
      <c r="J2" s="4"/>
      <c r="K2" s="4"/>
      <c r="L2" s="4"/>
      <c r="M2" s="4"/>
      <c r="N2" s="4"/>
    </row>
    <row r="3" spans="1:14" ht="21" customHeight="1">
      <c r="A3" s="573" t="s">
        <v>472</v>
      </c>
      <c r="B3" s="573"/>
      <c r="C3" s="573"/>
      <c r="D3" s="573"/>
      <c r="E3" s="573"/>
      <c r="F3" s="573"/>
      <c r="G3" s="573"/>
      <c r="H3" s="55"/>
      <c r="I3" s="55"/>
      <c r="J3" s="55"/>
      <c r="K3" s="55"/>
      <c r="L3" s="55"/>
      <c r="M3" s="55"/>
      <c r="N3" s="55"/>
    </row>
    <row r="4" spans="1:14" ht="21" customHeight="1">
      <c r="A4" s="590" t="str">
        <f>'Biểu 15-NQ'!A4:G4</f>
        <v>(Kèm theo Nghị quyết số   96 /NQ-HĐND ngày  07  tháng 12 năm 2018 của HĐND tỉnh Điện Biên)</v>
      </c>
      <c r="B4" s="590"/>
      <c r="C4" s="590"/>
      <c r="D4" s="590"/>
      <c r="E4" s="590"/>
      <c r="F4" s="590"/>
      <c r="G4" s="4"/>
      <c r="H4" s="4"/>
      <c r="I4" s="4"/>
      <c r="J4" s="4"/>
      <c r="K4" s="4"/>
      <c r="L4" s="4"/>
      <c r="M4" s="4"/>
      <c r="N4" s="4"/>
    </row>
    <row r="5" spans="1:14" ht="21" customHeight="1">
      <c r="A5" s="6"/>
      <c r="B5" s="6"/>
      <c r="C5" s="370"/>
      <c r="D5" s="370"/>
      <c r="E5" s="6"/>
      <c r="F5" s="6"/>
      <c r="G5" s="4"/>
      <c r="H5" s="4"/>
      <c r="I5" s="4"/>
      <c r="J5" s="4"/>
      <c r="K5" s="4"/>
      <c r="L5" s="4"/>
      <c r="M5" s="4"/>
      <c r="N5" s="4"/>
    </row>
    <row r="6" spans="1:14" ht="19.5" customHeight="1">
      <c r="A6" s="243"/>
      <c r="B6" s="243"/>
      <c r="C6" s="66"/>
      <c r="D6" s="591" t="s">
        <v>17</v>
      </c>
      <c r="E6" s="591"/>
      <c r="F6" s="591"/>
      <c r="G6" s="345"/>
      <c r="H6" s="345"/>
      <c r="I6" s="345"/>
      <c r="J6" s="345"/>
      <c r="K6" s="345"/>
      <c r="L6" s="345"/>
      <c r="M6" s="345"/>
      <c r="N6" s="345"/>
    </row>
    <row r="7" spans="1:14" ht="19.5" customHeight="1">
      <c r="A7" s="592" t="s">
        <v>70</v>
      </c>
      <c r="B7" s="592" t="s">
        <v>18</v>
      </c>
      <c r="C7" s="584" t="s">
        <v>19</v>
      </c>
      <c r="D7" s="584" t="s">
        <v>470</v>
      </c>
      <c r="E7" s="593" t="s">
        <v>71</v>
      </c>
      <c r="F7" s="594"/>
      <c r="G7" s="584" t="s">
        <v>72</v>
      </c>
      <c r="H7" s="587" t="s">
        <v>73</v>
      </c>
      <c r="I7" s="587" t="s">
        <v>54</v>
      </c>
      <c r="J7" s="587" t="s">
        <v>74</v>
      </c>
      <c r="K7" s="587"/>
      <c r="L7" s="587"/>
      <c r="M7" s="587"/>
      <c r="N7" s="587"/>
    </row>
    <row r="8" spans="1:14" ht="19.5" customHeight="1">
      <c r="A8" s="592"/>
      <c r="B8" s="592"/>
      <c r="C8" s="584"/>
      <c r="D8" s="584"/>
      <c r="E8" s="585" t="s">
        <v>75</v>
      </c>
      <c r="F8" s="585" t="s">
        <v>76</v>
      </c>
      <c r="G8" s="584"/>
      <c r="H8" s="587"/>
      <c r="I8" s="587"/>
      <c r="J8" s="587" t="s">
        <v>54</v>
      </c>
      <c r="K8" s="587" t="s">
        <v>77</v>
      </c>
      <c r="L8" s="587" t="s">
        <v>78</v>
      </c>
      <c r="M8" s="587"/>
      <c r="N8" s="587"/>
    </row>
    <row r="9" spans="1:14" ht="33" customHeight="1">
      <c r="A9" s="592"/>
      <c r="B9" s="592"/>
      <c r="C9" s="584"/>
      <c r="D9" s="584"/>
      <c r="E9" s="586"/>
      <c r="F9" s="586"/>
      <c r="G9" s="584"/>
      <c r="H9" s="588"/>
      <c r="I9" s="588"/>
      <c r="J9" s="588"/>
      <c r="K9" s="588"/>
      <c r="L9" s="588"/>
      <c r="M9" s="588"/>
      <c r="N9" s="588"/>
    </row>
    <row r="10" spans="1:17" s="71" customFormat="1" ht="17.25" customHeight="1">
      <c r="A10" s="68" t="s">
        <v>3</v>
      </c>
      <c r="B10" s="68" t="s">
        <v>12</v>
      </c>
      <c r="C10" s="68">
        <v>1</v>
      </c>
      <c r="D10" s="68">
        <v>2</v>
      </c>
      <c r="E10" s="69" t="s">
        <v>79</v>
      </c>
      <c r="F10" s="68" t="s">
        <v>80</v>
      </c>
      <c r="G10" s="68"/>
      <c r="H10" s="70"/>
      <c r="I10" s="70"/>
      <c r="J10" s="70"/>
      <c r="K10" s="70"/>
      <c r="L10" s="70"/>
      <c r="M10" s="70"/>
      <c r="N10" s="70"/>
      <c r="P10" s="71">
        <v>69851</v>
      </c>
      <c r="Q10" s="214">
        <f>D11+P10</f>
        <v>9186091</v>
      </c>
    </row>
    <row r="11" spans="1:17" ht="30.75" customHeight="1">
      <c r="A11" s="346"/>
      <c r="B11" s="346" t="s">
        <v>81</v>
      </c>
      <c r="C11" s="371">
        <f>SUM(C12,C59)</f>
        <v>9061427</v>
      </c>
      <c r="D11" s="371">
        <f>SUM(D12,D59)</f>
        <v>9116240</v>
      </c>
      <c r="E11" s="244">
        <f>D11-C11</f>
        <v>54813</v>
      </c>
      <c r="F11" s="558">
        <f>D11/C11*100</f>
        <v>100.60490472416761</v>
      </c>
      <c r="G11" s="347" t="e">
        <f>D11-#REF!</f>
        <v>#REF!</v>
      </c>
      <c r="H11" s="348">
        <f>D11-I11</f>
        <v>9116240</v>
      </c>
      <c r="I11" s="347"/>
      <c r="J11" s="347"/>
      <c r="K11" s="347"/>
      <c r="L11" s="347"/>
      <c r="M11" s="347"/>
      <c r="N11" s="347"/>
      <c r="O11" s="182"/>
      <c r="P11" s="5">
        <f>8832242-69851</f>
        <v>8762391</v>
      </c>
      <c r="Q11" s="182">
        <f>D11-P11</f>
        <v>353849</v>
      </c>
    </row>
    <row r="12" spans="1:15" ht="15.75">
      <c r="A12" s="190" t="s">
        <v>3</v>
      </c>
      <c r="B12" s="532" t="s">
        <v>82</v>
      </c>
      <c r="C12" s="74">
        <f>SUM(C13,C23,C56,C57,C51,C58)</f>
        <v>7042189</v>
      </c>
      <c r="D12" s="74">
        <f>SUM(D13,D23,D56,D57,D51,D58)</f>
        <v>7513424</v>
      </c>
      <c r="E12" s="73">
        <f>D12-C12</f>
        <v>471235</v>
      </c>
      <c r="F12" s="559">
        <f>D12/C12*100</f>
        <v>106.69159830842369</v>
      </c>
      <c r="G12" s="80" t="e">
        <f>D12-#REF!</f>
        <v>#REF!</v>
      </c>
      <c r="H12" s="349"/>
      <c r="I12" s="80"/>
      <c r="J12" s="80"/>
      <c r="K12" s="80"/>
      <c r="L12" s="80"/>
      <c r="M12" s="80"/>
      <c r="N12" s="80"/>
      <c r="O12" s="182"/>
    </row>
    <row r="13" spans="1:16" s="76" customFormat="1" ht="15.75">
      <c r="A13" s="190" t="s">
        <v>4</v>
      </c>
      <c r="B13" s="532" t="s">
        <v>139</v>
      </c>
      <c r="C13" s="74">
        <f>C14+C21</f>
        <v>706136</v>
      </c>
      <c r="D13" s="74">
        <f>D14+D21</f>
        <v>739125</v>
      </c>
      <c r="E13" s="73">
        <f>D13-C13</f>
        <v>32989</v>
      </c>
      <c r="F13" s="559">
        <f>D13/C13*100</f>
        <v>104.67176294651455</v>
      </c>
      <c r="G13" s="80" t="e">
        <f>D13-#REF!</f>
        <v>#REF!</v>
      </c>
      <c r="H13" s="350"/>
      <c r="I13" s="350"/>
      <c r="J13" s="350"/>
      <c r="K13" s="350"/>
      <c r="L13" s="350"/>
      <c r="M13" s="350"/>
      <c r="N13" s="350"/>
      <c r="O13" s="182"/>
      <c r="P13" s="181">
        <f>D15-22400</f>
        <v>579225</v>
      </c>
    </row>
    <row r="14" spans="1:16" s="76" customFormat="1" ht="15.75">
      <c r="A14" s="190">
        <v>1</v>
      </c>
      <c r="B14" s="532" t="s">
        <v>265</v>
      </c>
      <c r="C14" s="74">
        <f>C15+C17+C20</f>
        <v>690336</v>
      </c>
      <c r="D14" s="74">
        <f>D15+D17+D20</f>
        <v>721080</v>
      </c>
      <c r="E14" s="73"/>
      <c r="F14" s="559"/>
      <c r="G14" s="80"/>
      <c r="H14" s="350"/>
      <c r="I14" s="350"/>
      <c r="J14" s="350"/>
      <c r="K14" s="350"/>
      <c r="L14" s="350"/>
      <c r="M14" s="350"/>
      <c r="N14" s="350"/>
      <c r="O14" s="182"/>
      <c r="P14" s="181"/>
    </row>
    <row r="15" spans="1:19" s="76" customFormat="1" ht="15.75">
      <c r="A15" s="190" t="s">
        <v>377</v>
      </c>
      <c r="B15" s="532" t="s">
        <v>296</v>
      </c>
      <c r="C15" s="74">
        <f>568736+22400</f>
        <v>591136</v>
      </c>
      <c r="D15" s="74">
        <v>601625</v>
      </c>
      <c r="E15" s="73">
        <f>D15-C15</f>
        <v>10489</v>
      </c>
      <c r="F15" s="559">
        <f>D15/C15*100</f>
        <v>101.77438017647378</v>
      </c>
      <c r="G15" s="80" t="e">
        <f>D15-#REF!</f>
        <v>#REF!</v>
      </c>
      <c r="H15" s="350"/>
      <c r="I15" s="350"/>
      <c r="J15" s="350"/>
      <c r="K15" s="350"/>
      <c r="L15" s="350"/>
      <c r="M15" s="350"/>
      <c r="N15" s="350"/>
      <c r="O15" s="182"/>
      <c r="P15" s="590" t="s">
        <v>308</v>
      </c>
      <c r="Q15" s="590"/>
      <c r="R15" s="590"/>
      <c r="S15" s="590"/>
    </row>
    <row r="16" spans="1:19" s="76" customFormat="1" ht="15.75">
      <c r="A16" s="190"/>
      <c r="B16" s="533" t="s">
        <v>83</v>
      </c>
      <c r="C16" s="372">
        <v>22400</v>
      </c>
      <c r="D16" s="372">
        <v>13300</v>
      </c>
      <c r="E16" s="80"/>
      <c r="F16" s="559"/>
      <c r="G16" s="80" t="e">
        <f>D16-#REF!</f>
        <v>#REF!</v>
      </c>
      <c r="H16" s="350"/>
      <c r="I16" s="350"/>
      <c r="J16" s="350"/>
      <c r="K16" s="350"/>
      <c r="L16" s="350"/>
      <c r="M16" s="350"/>
      <c r="N16" s="350"/>
      <c r="O16" s="182"/>
      <c r="S16" s="181">
        <f>D15-592730</f>
        <v>8895</v>
      </c>
    </row>
    <row r="17" spans="1:15" s="76" customFormat="1" ht="15.75">
      <c r="A17" s="190" t="s">
        <v>378</v>
      </c>
      <c r="B17" s="532" t="s">
        <v>13</v>
      </c>
      <c r="C17" s="74">
        <v>79200</v>
      </c>
      <c r="D17" s="74">
        <v>94455</v>
      </c>
      <c r="E17" s="73">
        <f>D17-C17</f>
        <v>15255</v>
      </c>
      <c r="F17" s="559">
        <f>D17/C17*100</f>
        <v>119.26136363636364</v>
      </c>
      <c r="G17" s="80" t="e">
        <f>D17-#REF!</f>
        <v>#REF!</v>
      </c>
      <c r="H17" s="350"/>
      <c r="I17" s="350"/>
      <c r="J17" s="350"/>
      <c r="K17" s="350"/>
      <c r="L17" s="350"/>
      <c r="M17" s="350"/>
      <c r="N17" s="350"/>
      <c r="O17" s="182"/>
    </row>
    <row r="18" spans="1:15" s="76" customFormat="1" ht="15.75">
      <c r="A18" s="351"/>
      <c r="B18" s="534" t="s">
        <v>84</v>
      </c>
      <c r="C18" s="82">
        <v>24100</v>
      </c>
      <c r="D18" s="82">
        <v>34515</v>
      </c>
      <c r="E18" s="80"/>
      <c r="F18" s="559"/>
      <c r="G18" s="80"/>
      <c r="H18" s="350"/>
      <c r="I18" s="350"/>
      <c r="J18" s="350"/>
      <c r="K18" s="350"/>
      <c r="L18" s="350"/>
      <c r="M18" s="350"/>
      <c r="N18" s="350"/>
      <c r="O18" s="182"/>
    </row>
    <row r="19" spans="1:15" ht="15.75">
      <c r="A19" s="190"/>
      <c r="B19" s="534" t="s">
        <v>66</v>
      </c>
      <c r="C19" s="82">
        <v>55100</v>
      </c>
      <c r="D19" s="82">
        <v>59940</v>
      </c>
      <c r="E19" s="80"/>
      <c r="F19" s="559"/>
      <c r="G19" s="80"/>
      <c r="H19" s="350"/>
      <c r="I19" s="350"/>
      <c r="J19" s="350"/>
      <c r="K19" s="350"/>
      <c r="L19" s="350"/>
      <c r="M19" s="350"/>
      <c r="N19" s="350"/>
      <c r="O19" s="182"/>
    </row>
    <row r="20" spans="1:15" s="76" customFormat="1" ht="15.75">
      <c r="A20" s="190" t="s">
        <v>457</v>
      </c>
      <c r="B20" s="535" t="s">
        <v>85</v>
      </c>
      <c r="C20" s="74">
        <v>20000</v>
      </c>
      <c r="D20" s="74">
        <v>25000</v>
      </c>
      <c r="E20" s="73">
        <f>D20-C20</f>
        <v>5000</v>
      </c>
      <c r="F20" s="559">
        <f>D20/C20*100</f>
        <v>125</v>
      </c>
      <c r="G20" s="80"/>
      <c r="H20" s="350"/>
      <c r="I20" s="350"/>
      <c r="J20" s="350"/>
      <c r="K20" s="350"/>
      <c r="L20" s="350"/>
      <c r="M20" s="350"/>
      <c r="N20" s="350"/>
      <c r="O20" s="182"/>
    </row>
    <row r="21" spans="1:15" s="76" customFormat="1" ht="47.25">
      <c r="A21" s="190">
        <v>2</v>
      </c>
      <c r="B21" s="535" t="s">
        <v>473</v>
      </c>
      <c r="C21" s="74">
        <v>15800</v>
      </c>
      <c r="D21" s="74">
        <v>18045</v>
      </c>
      <c r="E21" s="73"/>
      <c r="F21" s="559"/>
      <c r="G21" s="80"/>
      <c r="H21" s="350"/>
      <c r="I21" s="350"/>
      <c r="J21" s="350"/>
      <c r="K21" s="350"/>
      <c r="L21" s="350"/>
      <c r="M21" s="350"/>
      <c r="N21" s="350"/>
      <c r="O21" s="182"/>
    </row>
    <row r="22" spans="1:15" s="76" customFormat="1" ht="15.75">
      <c r="A22" s="186"/>
      <c r="B22" s="534" t="s">
        <v>448</v>
      </c>
      <c r="C22" s="82">
        <v>15800</v>
      </c>
      <c r="D22" s="82">
        <v>18045</v>
      </c>
      <c r="E22" s="80"/>
      <c r="F22" s="559"/>
      <c r="G22" s="80"/>
      <c r="H22" s="350"/>
      <c r="I22" s="350"/>
      <c r="J22" s="350"/>
      <c r="K22" s="350"/>
      <c r="L22" s="350"/>
      <c r="M22" s="350"/>
      <c r="N22" s="350"/>
      <c r="O22" s="182"/>
    </row>
    <row r="23" spans="1:16" s="79" customFormat="1" ht="15.75">
      <c r="A23" s="190" t="s">
        <v>10</v>
      </c>
      <c r="B23" s="532" t="s">
        <v>87</v>
      </c>
      <c r="C23" s="73">
        <f>6156349+2000</f>
        <v>6158349</v>
      </c>
      <c r="D23" s="493">
        <v>6599001</v>
      </c>
      <c r="E23" s="73">
        <f>D23-C23</f>
        <v>440652</v>
      </c>
      <c r="F23" s="560">
        <f>D23/C23*100</f>
        <v>107.15535933413322</v>
      </c>
      <c r="G23" s="73" t="e">
        <f>D23-#REF!</f>
        <v>#REF!</v>
      </c>
      <c r="H23" s="353"/>
      <c r="I23" s="73"/>
      <c r="J23" s="73"/>
      <c r="K23" s="73"/>
      <c r="L23" s="73"/>
      <c r="M23" s="73"/>
      <c r="N23" s="73"/>
      <c r="O23" s="182"/>
      <c r="P23" s="79">
        <v>6195700</v>
      </c>
    </row>
    <row r="24" spans="1:15" s="79" customFormat="1" ht="15.75">
      <c r="A24" s="190"/>
      <c r="B24" s="532" t="s">
        <v>291</v>
      </c>
      <c r="C24" s="73"/>
      <c r="D24" s="73"/>
      <c r="E24" s="73"/>
      <c r="F24" s="560"/>
      <c r="G24" s="73"/>
      <c r="H24" s="354"/>
      <c r="I24" s="354"/>
      <c r="J24" s="354"/>
      <c r="K24" s="354"/>
      <c r="L24" s="354"/>
      <c r="M24" s="354"/>
      <c r="N24" s="354"/>
      <c r="O24" s="182"/>
    </row>
    <row r="25" spans="1:15" ht="18" customHeight="1">
      <c r="A25" s="186">
        <v>1</v>
      </c>
      <c r="B25" s="534" t="s">
        <v>351</v>
      </c>
      <c r="C25" s="80">
        <v>3079245</v>
      </c>
      <c r="D25" s="525">
        <v>3290275</v>
      </c>
      <c r="E25" s="80">
        <v>265543</v>
      </c>
      <c r="F25" s="559">
        <f>D25/C25*100</f>
        <v>106.85330332597765</v>
      </c>
      <c r="G25" s="80"/>
      <c r="H25" s="350"/>
      <c r="I25" s="350"/>
      <c r="J25" s="350"/>
      <c r="K25" s="350"/>
      <c r="L25" s="350" t="e">
        <f>SUM(#REF!,#REF!)</f>
        <v>#REF!</v>
      </c>
      <c r="M25" s="350"/>
      <c r="N25" s="350"/>
      <c r="O25" s="182"/>
    </row>
    <row r="26" spans="1:15" s="168" customFormat="1" ht="15.75">
      <c r="A26" s="355"/>
      <c r="B26" s="536" t="s">
        <v>436</v>
      </c>
      <c r="C26" s="81">
        <v>2280</v>
      </c>
      <c r="D26" s="81">
        <v>3458</v>
      </c>
      <c r="E26" s="81"/>
      <c r="F26" s="561"/>
      <c r="G26" s="81"/>
      <c r="H26" s="352"/>
      <c r="I26" s="352"/>
      <c r="J26" s="352"/>
      <c r="K26" s="352"/>
      <c r="L26" s="356"/>
      <c r="M26" s="352"/>
      <c r="N26" s="352"/>
      <c r="O26" s="182"/>
    </row>
    <row r="27" spans="1:15" s="168" customFormat="1" ht="33" customHeight="1">
      <c r="A27" s="355"/>
      <c r="B27" s="536" t="s">
        <v>605</v>
      </c>
      <c r="C27" s="81">
        <v>214996</v>
      </c>
      <c r="D27" s="81">
        <v>254661</v>
      </c>
      <c r="E27" s="81"/>
      <c r="F27" s="561"/>
      <c r="G27" s="81"/>
      <c r="H27" s="352"/>
      <c r="I27" s="352"/>
      <c r="J27" s="352"/>
      <c r="K27" s="352"/>
      <c r="L27" s="356"/>
      <c r="M27" s="352"/>
      <c r="N27" s="352"/>
      <c r="O27" s="182"/>
    </row>
    <row r="28" spans="1:15" s="168" customFormat="1" ht="15.75">
      <c r="A28" s="355"/>
      <c r="B28" s="536" t="s">
        <v>606</v>
      </c>
      <c r="C28" s="81">
        <v>33696</v>
      </c>
      <c r="D28" s="81">
        <v>42100</v>
      </c>
      <c r="E28" s="81"/>
      <c r="F28" s="561"/>
      <c r="G28" s="81"/>
      <c r="H28" s="352"/>
      <c r="I28" s="352"/>
      <c r="J28" s="352"/>
      <c r="K28" s="352"/>
      <c r="L28" s="356"/>
      <c r="M28" s="352"/>
      <c r="N28" s="352"/>
      <c r="O28" s="182"/>
    </row>
    <row r="29" spans="1:15" s="168" customFormat="1" ht="15.75" customHeight="1">
      <c r="A29" s="355"/>
      <c r="B29" s="536" t="s">
        <v>607</v>
      </c>
      <c r="C29" s="81">
        <v>101209</v>
      </c>
      <c r="D29" s="81">
        <f>93502+8724</f>
        <v>102226</v>
      </c>
      <c r="E29" s="81"/>
      <c r="F29" s="561"/>
      <c r="G29" s="81"/>
      <c r="H29" s="352"/>
      <c r="I29" s="352"/>
      <c r="J29" s="352"/>
      <c r="K29" s="352"/>
      <c r="L29" s="356"/>
      <c r="M29" s="352"/>
      <c r="N29" s="352"/>
      <c r="O29" s="182"/>
    </row>
    <row r="30" spans="1:15" s="168" customFormat="1" ht="15.75">
      <c r="A30" s="355"/>
      <c r="B30" s="536" t="s">
        <v>608</v>
      </c>
      <c r="C30" s="81">
        <v>41751</v>
      </c>
      <c r="D30" s="81">
        <v>49655</v>
      </c>
      <c r="E30" s="81"/>
      <c r="F30" s="561"/>
      <c r="G30" s="81"/>
      <c r="H30" s="352"/>
      <c r="I30" s="352"/>
      <c r="J30" s="352"/>
      <c r="K30" s="352"/>
      <c r="L30" s="356"/>
      <c r="M30" s="352"/>
      <c r="N30" s="352"/>
      <c r="O30" s="182"/>
    </row>
    <row r="31" spans="1:15" s="168" customFormat="1" ht="15.75">
      <c r="A31" s="355"/>
      <c r="B31" s="536" t="s">
        <v>609</v>
      </c>
      <c r="C31" s="81">
        <v>10567</v>
      </c>
      <c r="D31" s="81">
        <v>11437</v>
      </c>
      <c r="E31" s="81"/>
      <c r="F31" s="561"/>
      <c r="G31" s="81"/>
      <c r="H31" s="352"/>
      <c r="I31" s="352"/>
      <c r="J31" s="352"/>
      <c r="K31" s="352"/>
      <c r="L31" s="356"/>
      <c r="M31" s="352"/>
      <c r="N31" s="352"/>
      <c r="O31" s="182"/>
    </row>
    <row r="32" spans="1:15" s="168" customFormat="1" ht="15.75">
      <c r="A32" s="355"/>
      <c r="B32" s="536" t="s">
        <v>610</v>
      </c>
      <c r="C32" s="81">
        <v>4586</v>
      </c>
      <c r="D32" s="81">
        <v>3913</v>
      </c>
      <c r="E32" s="81"/>
      <c r="F32" s="561"/>
      <c r="G32" s="81"/>
      <c r="H32" s="352"/>
      <c r="I32" s="352"/>
      <c r="J32" s="352"/>
      <c r="K32" s="352"/>
      <c r="L32" s="356"/>
      <c r="M32" s="352"/>
      <c r="N32" s="352"/>
      <c r="O32" s="182"/>
    </row>
    <row r="33" spans="1:15" s="168" customFormat="1" ht="15.75">
      <c r="A33" s="355"/>
      <c r="B33" s="536" t="s">
        <v>611</v>
      </c>
      <c r="C33" s="81">
        <v>4575</v>
      </c>
      <c r="D33" s="81">
        <v>9560</v>
      </c>
      <c r="E33" s="81"/>
      <c r="F33" s="561"/>
      <c r="G33" s="81"/>
      <c r="H33" s="352"/>
      <c r="I33" s="352"/>
      <c r="J33" s="352"/>
      <c r="K33" s="352"/>
      <c r="L33" s="356"/>
      <c r="M33" s="352"/>
      <c r="N33" s="352"/>
      <c r="O33" s="182"/>
    </row>
    <row r="34" spans="1:15" s="168" customFormat="1" ht="15.75">
      <c r="A34" s="355"/>
      <c r="B34" s="536" t="s">
        <v>612</v>
      </c>
      <c r="C34" s="81"/>
      <c r="D34" s="81">
        <v>2404</v>
      </c>
      <c r="E34" s="81"/>
      <c r="F34" s="561"/>
      <c r="G34" s="81"/>
      <c r="H34" s="352"/>
      <c r="I34" s="352"/>
      <c r="J34" s="352"/>
      <c r="K34" s="352"/>
      <c r="L34" s="356"/>
      <c r="M34" s="352"/>
      <c r="N34" s="352"/>
      <c r="O34" s="182"/>
    </row>
    <row r="35" spans="1:15" ht="15.75">
      <c r="A35" s="190">
        <v>2</v>
      </c>
      <c r="B35" s="534" t="s">
        <v>285</v>
      </c>
      <c r="C35" s="82">
        <v>12610</v>
      </c>
      <c r="D35" s="82">
        <v>13492</v>
      </c>
      <c r="E35" s="80">
        <f>D35-C35</f>
        <v>882</v>
      </c>
      <c r="F35" s="559">
        <f>D35/C35*100</f>
        <v>106.99444885011896</v>
      </c>
      <c r="G35" s="357"/>
      <c r="H35" s="358"/>
      <c r="I35" s="358"/>
      <c r="J35" s="358"/>
      <c r="K35" s="358"/>
      <c r="L35" s="358"/>
      <c r="M35" s="358"/>
      <c r="N35" s="358"/>
      <c r="O35" s="182"/>
    </row>
    <row r="36" spans="1:15" ht="15.75">
      <c r="A36" s="190">
        <v>3</v>
      </c>
      <c r="B36" s="534" t="s">
        <v>447</v>
      </c>
      <c r="C36" s="82">
        <v>67603</v>
      </c>
      <c r="D36" s="524">
        <v>69776</v>
      </c>
      <c r="E36" s="80"/>
      <c r="F36" s="559"/>
      <c r="G36" s="357"/>
      <c r="H36" s="358"/>
      <c r="I36" s="358"/>
      <c r="J36" s="358"/>
      <c r="K36" s="358"/>
      <c r="L36" s="358"/>
      <c r="M36" s="358"/>
      <c r="N36" s="358"/>
      <c r="O36" s="182"/>
    </row>
    <row r="37" spans="1:15" ht="15.75">
      <c r="A37" s="190">
        <v>4</v>
      </c>
      <c r="B37" s="534" t="s">
        <v>292</v>
      </c>
      <c r="C37" s="82"/>
      <c r="D37" s="82"/>
      <c r="E37" s="80"/>
      <c r="F37" s="559"/>
      <c r="G37" s="357"/>
      <c r="H37" s="358"/>
      <c r="I37" s="358"/>
      <c r="J37" s="358"/>
      <c r="K37" s="358"/>
      <c r="L37" s="358"/>
      <c r="M37" s="358"/>
      <c r="N37" s="358"/>
      <c r="O37" s="182"/>
    </row>
    <row r="38" spans="1:15" s="167" customFormat="1" ht="15.75" customHeight="1">
      <c r="A38" s="190"/>
      <c r="B38" s="534" t="s">
        <v>437</v>
      </c>
      <c r="C38" s="80">
        <v>24000</v>
      </c>
      <c r="D38" s="80">
        <v>24000</v>
      </c>
      <c r="E38" s="80"/>
      <c r="F38" s="559"/>
      <c r="G38" s="73"/>
      <c r="H38" s="354"/>
      <c r="I38" s="354"/>
      <c r="J38" s="354"/>
      <c r="K38" s="354"/>
      <c r="L38" s="354"/>
      <c r="M38" s="354"/>
      <c r="N38" s="354"/>
      <c r="O38" s="182"/>
    </row>
    <row r="39" spans="1:15" s="167" customFormat="1" ht="15.75" customHeight="1">
      <c r="A39" s="190"/>
      <c r="B39" s="534" t="s">
        <v>286</v>
      </c>
      <c r="C39" s="80">
        <v>51169</v>
      </c>
      <c r="D39" s="80">
        <v>51169</v>
      </c>
      <c r="E39" s="80"/>
      <c r="F39" s="559"/>
      <c r="G39" s="73"/>
      <c r="H39" s="354"/>
      <c r="I39" s="354"/>
      <c r="J39" s="354"/>
      <c r="K39" s="354"/>
      <c r="L39" s="354"/>
      <c r="M39" s="354"/>
      <c r="N39" s="354"/>
      <c r="O39" s="182"/>
    </row>
    <row r="40" spans="1:15" s="167" customFormat="1" ht="15.75" customHeight="1">
      <c r="A40" s="190"/>
      <c r="B40" s="534" t="s">
        <v>287</v>
      </c>
      <c r="C40" s="80">
        <v>34255</v>
      </c>
      <c r="D40" s="80">
        <v>35275</v>
      </c>
      <c r="E40" s="80"/>
      <c r="F40" s="559"/>
      <c r="G40" s="73"/>
      <c r="H40" s="354"/>
      <c r="I40" s="354"/>
      <c r="J40" s="354"/>
      <c r="K40" s="354"/>
      <c r="L40" s="354"/>
      <c r="M40" s="354"/>
      <c r="N40" s="354"/>
      <c r="O40" s="182"/>
    </row>
    <row r="41" spans="1:15" s="165" customFormat="1" ht="15.75" customHeight="1">
      <c r="A41" s="190"/>
      <c r="B41" s="534" t="s">
        <v>603</v>
      </c>
      <c r="C41" s="80">
        <v>59577</v>
      </c>
      <c r="D41" s="80">
        <v>60386</v>
      </c>
      <c r="E41" s="80"/>
      <c r="F41" s="559"/>
      <c r="G41" s="80"/>
      <c r="H41" s="350"/>
      <c r="I41" s="350"/>
      <c r="J41" s="350"/>
      <c r="K41" s="350"/>
      <c r="L41" s="354"/>
      <c r="M41" s="350"/>
      <c r="N41" s="350"/>
      <c r="O41" s="182"/>
    </row>
    <row r="42" spans="1:15" s="165" customFormat="1" ht="15.75" customHeight="1">
      <c r="A42" s="190"/>
      <c r="B42" s="534" t="s">
        <v>604</v>
      </c>
      <c r="C42" s="80">
        <v>250239</v>
      </c>
      <c r="D42" s="80">
        <v>279818</v>
      </c>
      <c r="E42" s="80"/>
      <c r="F42" s="559"/>
      <c r="G42" s="80"/>
      <c r="H42" s="350"/>
      <c r="I42" s="350"/>
      <c r="J42" s="350"/>
      <c r="K42" s="350"/>
      <c r="L42" s="354"/>
      <c r="M42" s="350"/>
      <c r="N42" s="350"/>
      <c r="O42" s="182"/>
    </row>
    <row r="43" spans="1:15" s="165" customFormat="1" ht="15.75" customHeight="1">
      <c r="A43" s="190"/>
      <c r="B43" s="534" t="s">
        <v>288</v>
      </c>
      <c r="C43" s="80">
        <v>5657</v>
      </c>
      <c r="D43" s="80">
        <v>6022</v>
      </c>
      <c r="E43" s="80"/>
      <c r="F43" s="559"/>
      <c r="G43" s="80"/>
      <c r="H43" s="350"/>
      <c r="I43" s="350"/>
      <c r="J43" s="350"/>
      <c r="K43" s="350"/>
      <c r="L43" s="354"/>
      <c r="M43" s="350"/>
      <c r="N43" s="350"/>
      <c r="O43" s="182"/>
    </row>
    <row r="44" spans="1:15" s="168" customFormat="1" ht="15.75" customHeight="1">
      <c r="A44" s="355"/>
      <c r="B44" s="536" t="s">
        <v>293</v>
      </c>
      <c r="C44" s="81">
        <v>2100</v>
      </c>
      <c r="D44" s="81">
        <v>2409</v>
      </c>
      <c r="E44" s="81"/>
      <c r="F44" s="561"/>
      <c r="G44" s="81"/>
      <c r="H44" s="352"/>
      <c r="I44" s="352"/>
      <c r="J44" s="352"/>
      <c r="K44" s="352"/>
      <c r="L44" s="356"/>
      <c r="M44" s="352"/>
      <c r="N44" s="352"/>
      <c r="O44" s="181"/>
    </row>
    <row r="45" spans="1:15" s="165" customFormat="1" ht="15.75" customHeight="1">
      <c r="A45" s="190"/>
      <c r="B45" s="534" t="s">
        <v>474</v>
      </c>
      <c r="C45" s="80">
        <v>2598</v>
      </c>
      <c r="D45" s="80">
        <v>2995</v>
      </c>
      <c r="E45" s="80"/>
      <c r="F45" s="559"/>
      <c r="G45" s="80"/>
      <c r="H45" s="350"/>
      <c r="I45" s="350"/>
      <c r="J45" s="350"/>
      <c r="K45" s="350"/>
      <c r="L45" s="354"/>
      <c r="M45" s="350"/>
      <c r="N45" s="350"/>
      <c r="O45" s="182"/>
    </row>
    <row r="46" spans="1:15" s="165" customFormat="1" ht="31.5" customHeight="1">
      <c r="A46" s="190"/>
      <c r="B46" s="534" t="s">
        <v>475</v>
      </c>
      <c r="C46" s="80">
        <v>3471</v>
      </c>
      <c r="D46" s="80">
        <v>3231</v>
      </c>
      <c r="E46" s="80"/>
      <c r="F46" s="559"/>
      <c r="G46" s="80"/>
      <c r="H46" s="350"/>
      <c r="I46" s="350"/>
      <c r="J46" s="350"/>
      <c r="K46" s="350"/>
      <c r="L46" s="354"/>
      <c r="M46" s="350"/>
      <c r="N46" s="350"/>
      <c r="O46" s="182"/>
    </row>
    <row r="47" spans="1:15" s="165" customFormat="1" ht="15.75" customHeight="1">
      <c r="A47" s="190"/>
      <c r="B47" s="534" t="s">
        <v>290</v>
      </c>
      <c r="C47" s="80">
        <v>72196</v>
      </c>
      <c r="D47" s="80">
        <v>72168</v>
      </c>
      <c r="E47" s="80"/>
      <c r="F47" s="559"/>
      <c r="G47" s="80"/>
      <c r="H47" s="350"/>
      <c r="I47" s="350"/>
      <c r="J47" s="350"/>
      <c r="K47" s="350"/>
      <c r="L47" s="354"/>
      <c r="M47" s="350"/>
      <c r="N47" s="350"/>
      <c r="O47" s="182"/>
    </row>
    <row r="48" spans="1:15" s="165" customFormat="1" ht="15.75" customHeight="1">
      <c r="A48" s="190"/>
      <c r="B48" s="534" t="s">
        <v>593</v>
      </c>
      <c r="C48" s="80">
        <v>9354</v>
      </c>
      <c r="D48" s="80">
        <v>8497</v>
      </c>
      <c r="E48" s="80"/>
      <c r="F48" s="559"/>
      <c r="G48" s="80"/>
      <c r="H48" s="350"/>
      <c r="I48" s="350"/>
      <c r="J48" s="350"/>
      <c r="K48" s="350"/>
      <c r="L48" s="354"/>
      <c r="M48" s="350"/>
      <c r="N48" s="350"/>
      <c r="O48" s="182"/>
    </row>
    <row r="49" spans="1:15" s="165" customFormat="1" ht="15.75" customHeight="1">
      <c r="A49" s="190"/>
      <c r="B49" s="534" t="s">
        <v>289</v>
      </c>
      <c r="C49" s="80">
        <v>33519</v>
      </c>
      <c r="D49" s="80">
        <v>33269</v>
      </c>
      <c r="E49" s="80"/>
      <c r="F49" s="559"/>
      <c r="G49" s="80"/>
      <c r="H49" s="350"/>
      <c r="I49" s="350"/>
      <c r="J49" s="350"/>
      <c r="K49" s="350"/>
      <c r="L49" s="354"/>
      <c r="M49" s="350"/>
      <c r="N49" s="350"/>
      <c r="O49" s="182"/>
    </row>
    <row r="50" spans="1:15" s="165" customFormat="1" ht="15.75" customHeight="1">
      <c r="A50" s="190"/>
      <c r="B50" s="534" t="s">
        <v>594</v>
      </c>
      <c r="C50" s="80">
        <v>1933</v>
      </c>
      <c r="D50" s="80">
        <v>3847</v>
      </c>
      <c r="E50" s="80"/>
      <c r="F50" s="559"/>
      <c r="G50" s="80"/>
      <c r="H50" s="350"/>
      <c r="I50" s="350"/>
      <c r="J50" s="350"/>
      <c r="K50" s="350"/>
      <c r="L50" s="354"/>
      <c r="M50" s="350"/>
      <c r="N50" s="350"/>
      <c r="O50" s="182"/>
    </row>
    <row r="51" spans="1:15" s="167" customFormat="1" ht="21.75" customHeight="1">
      <c r="A51" s="190" t="s">
        <v>14</v>
      </c>
      <c r="B51" s="532" t="s">
        <v>268</v>
      </c>
      <c r="C51" s="74">
        <f>C52+C53</f>
        <v>1543</v>
      </c>
      <c r="D51" s="74">
        <f>SUM(D52:D53)</f>
        <v>1261</v>
      </c>
      <c r="E51" s="89"/>
      <c r="F51" s="560"/>
      <c r="G51" s="80" t="e">
        <f>D51-#REF!</f>
        <v>#REF!</v>
      </c>
      <c r="H51" s="191"/>
      <c r="I51" s="191"/>
      <c r="J51" s="191"/>
      <c r="K51" s="191"/>
      <c r="L51" s="191"/>
      <c r="M51" s="191"/>
      <c r="N51" s="191"/>
      <c r="O51" s="182"/>
    </row>
    <row r="52" spans="1:15" s="165" customFormat="1" ht="15.75" customHeight="1">
      <c r="A52" s="186"/>
      <c r="B52" s="534" t="s">
        <v>88</v>
      </c>
      <c r="C52" s="82">
        <v>455</v>
      </c>
      <c r="D52" s="82">
        <v>417</v>
      </c>
      <c r="E52" s="83"/>
      <c r="F52" s="559"/>
      <c r="G52" s="83"/>
      <c r="H52" s="189"/>
      <c r="I52" s="189"/>
      <c r="J52" s="189"/>
      <c r="K52" s="189"/>
      <c r="L52" s="189"/>
      <c r="M52" s="189"/>
      <c r="N52" s="189"/>
      <c r="O52" s="182"/>
    </row>
    <row r="53" spans="1:15" s="165" customFormat="1" ht="15.75" customHeight="1">
      <c r="A53" s="186"/>
      <c r="B53" s="534" t="s">
        <v>89</v>
      </c>
      <c r="C53" s="82">
        <f>SUM(C54:C55)</f>
        <v>1088</v>
      </c>
      <c r="D53" s="82">
        <f>D54+D55</f>
        <v>844</v>
      </c>
      <c r="E53" s="83"/>
      <c r="F53" s="559"/>
      <c r="G53" s="83"/>
      <c r="H53" s="189"/>
      <c r="I53" s="189"/>
      <c r="J53" s="189"/>
      <c r="K53" s="189"/>
      <c r="L53" s="189"/>
      <c r="M53" s="189"/>
      <c r="N53" s="189"/>
      <c r="O53" s="182"/>
    </row>
    <row r="54" spans="1:15" s="165" customFormat="1" ht="31.5" customHeight="1">
      <c r="A54" s="186"/>
      <c r="B54" s="533" t="s">
        <v>613</v>
      </c>
      <c r="C54" s="82">
        <v>916</v>
      </c>
      <c r="D54" s="82">
        <v>647</v>
      </c>
      <c r="E54" s="83"/>
      <c r="F54" s="559"/>
      <c r="G54" s="83"/>
      <c r="H54" s="189"/>
      <c r="I54" s="189"/>
      <c r="J54" s="189"/>
      <c r="K54" s="189"/>
      <c r="L54" s="189"/>
      <c r="M54" s="189"/>
      <c r="N54" s="189"/>
      <c r="O54" s="182"/>
    </row>
    <row r="55" spans="1:15" s="165" customFormat="1" ht="31.5" customHeight="1">
      <c r="A55" s="186"/>
      <c r="B55" s="533" t="s">
        <v>90</v>
      </c>
      <c r="C55" s="82">
        <v>172</v>
      </c>
      <c r="D55" s="82">
        <v>197</v>
      </c>
      <c r="E55" s="83"/>
      <c r="F55" s="559"/>
      <c r="G55" s="83"/>
      <c r="H55" s="189"/>
      <c r="I55" s="189"/>
      <c r="J55" s="189"/>
      <c r="K55" s="189"/>
      <c r="L55" s="189"/>
      <c r="M55" s="189"/>
      <c r="N55" s="189"/>
      <c r="O55" s="182"/>
    </row>
    <row r="56" spans="1:15" s="165" customFormat="1" ht="15.75">
      <c r="A56" s="190" t="s">
        <v>15</v>
      </c>
      <c r="B56" s="532" t="s">
        <v>91</v>
      </c>
      <c r="C56" s="74">
        <v>1000</v>
      </c>
      <c r="D56" s="74">
        <v>1000</v>
      </c>
      <c r="E56" s="73">
        <f>D56-C56</f>
        <v>0</v>
      </c>
      <c r="F56" s="559">
        <f>D56/C56*100</f>
        <v>100</v>
      </c>
      <c r="G56" s="80" t="e">
        <f>D56-#REF!</f>
        <v>#REF!</v>
      </c>
      <c r="H56" s="358"/>
      <c r="I56" s="358"/>
      <c r="J56" s="358"/>
      <c r="K56" s="358"/>
      <c r="L56" s="358"/>
      <c r="M56" s="358"/>
      <c r="N56" s="358"/>
      <c r="O56" s="182"/>
    </row>
    <row r="57" spans="1:15" s="165" customFormat="1" ht="15.75">
      <c r="A57" s="190" t="s">
        <v>92</v>
      </c>
      <c r="B57" s="535" t="s">
        <v>93</v>
      </c>
      <c r="C57" s="73">
        <v>135810</v>
      </c>
      <c r="D57" s="73">
        <v>142913</v>
      </c>
      <c r="E57" s="73">
        <f>D57-C57</f>
        <v>7103</v>
      </c>
      <c r="F57" s="559">
        <f>D57/C57*100</f>
        <v>105.23010087622413</v>
      </c>
      <c r="G57" s="80" t="e">
        <f>D57-#REF!</f>
        <v>#REF!</v>
      </c>
      <c r="H57" s="358">
        <f>24300*0.02</f>
        <v>486</v>
      </c>
      <c r="I57" s="358"/>
      <c r="J57" s="358"/>
      <c r="K57" s="358"/>
      <c r="L57" s="358"/>
      <c r="M57" s="358"/>
      <c r="N57" s="358"/>
      <c r="O57" s="182"/>
    </row>
    <row r="58" spans="1:15" s="165" customFormat="1" ht="15.75">
      <c r="A58" s="190" t="s">
        <v>269</v>
      </c>
      <c r="B58" s="535" t="s">
        <v>425</v>
      </c>
      <c r="C58" s="73">
        <v>39351</v>
      </c>
      <c r="D58" s="493">
        <v>30124</v>
      </c>
      <c r="E58" s="73"/>
      <c r="F58" s="559"/>
      <c r="G58" s="80"/>
      <c r="H58" s="358"/>
      <c r="I58" s="358"/>
      <c r="J58" s="358"/>
      <c r="K58" s="358"/>
      <c r="L58" s="358"/>
      <c r="M58" s="358"/>
      <c r="N58" s="358"/>
      <c r="O58" s="182"/>
    </row>
    <row r="59" spans="1:15" s="169" customFormat="1" ht="15.75">
      <c r="A59" s="359" t="s">
        <v>12</v>
      </c>
      <c r="B59" s="537" t="s">
        <v>94</v>
      </c>
      <c r="C59" s="373">
        <f>SUM(C60,C78,C93)</f>
        <v>2019238</v>
      </c>
      <c r="D59" s="373">
        <f>SUM(D60,D78,D93)</f>
        <v>1602816</v>
      </c>
      <c r="E59" s="73">
        <f>D59-C59</f>
        <v>-416422</v>
      </c>
      <c r="F59" s="560">
        <f>D59/C59*100</f>
        <v>79.37727003949014</v>
      </c>
      <c r="G59" s="80" t="e">
        <f>D59-#REF!</f>
        <v>#REF!</v>
      </c>
      <c r="H59" s="360"/>
      <c r="I59" s="357"/>
      <c r="J59" s="357"/>
      <c r="K59" s="357"/>
      <c r="L59" s="357"/>
      <c r="M59" s="357"/>
      <c r="N59" s="357"/>
      <c r="O59" s="182"/>
    </row>
    <row r="60" spans="1:15" s="165" customFormat="1" ht="15.75">
      <c r="A60" s="190" t="s">
        <v>4</v>
      </c>
      <c r="B60" s="535" t="s">
        <v>95</v>
      </c>
      <c r="C60" s="74">
        <f>SUM(C61,C75)</f>
        <v>601848</v>
      </c>
      <c r="D60" s="74">
        <f>SUM(D61,D75)</f>
        <v>906008</v>
      </c>
      <c r="E60" s="73">
        <f>D60-C60</f>
        <v>304160</v>
      </c>
      <c r="F60" s="559">
        <f>D60/C60*100</f>
        <v>150.5376772872885</v>
      </c>
      <c r="G60" s="357"/>
      <c r="H60" s="360"/>
      <c r="I60" s="357"/>
      <c r="J60" s="357"/>
      <c r="K60" s="357"/>
      <c r="L60" s="357"/>
      <c r="M60" s="357"/>
      <c r="N60" s="357"/>
      <c r="O60" s="182"/>
    </row>
    <row r="61" spans="1:15" s="167" customFormat="1" ht="15.75">
      <c r="A61" s="190">
        <v>1</v>
      </c>
      <c r="B61" s="532" t="s">
        <v>96</v>
      </c>
      <c r="C61" s="74">
        <f>SUM(C62:C63)</f>
        <v>385148</v>
      </c>
      <c r="D61" s="74">
        <f>SUM(D62:D63)</f>
        <v>590058</v>
      </c>
      <c r="E61" s="73">
        <f>D61-C61</f>
        <v>204910</v>
      </c>
      <c r="F61" s="559">
        <f>D61/C61*100</f>
        <v>153.20292459002772</v>
      </c>
      <c r="G61" s="89"/>
      <c r="H61" s="361"/>
      <c r="I61" s="89"/>
      <c r="J61" s="89"/>
      <c r="K61" s="89"/>
      <c r="L61" s="89"/>
      <c r="M61" s="89"/>
      <c r="N61" s="89"/>
      <c r="O61" s="182"/>
    </row>
    <row r="62" spans="1:15" s="165" customFormat="1" ht="15.75">
      <c r="A62" s="190"/>
      <c r="B62" s="538" t="s">
        <v>67</v>
      </c>
      <c r="C62" s="82">
        <v>273069</v>
      </c>
      <c r="D62" s="82">
        <v>473123</v>
      </c>
      <c r="E62" s="80">
        <f>D62-C62</f>
        <v>200054</v>
      </c>
      <c r="F62" s="559">
        <f>D62/C62*100</f>
        <v>173.2613368782249</v>
      </c>
      <c r="G62" s="83"/>
      <c r="H62" s="187"/>
      <c r="I62" s="83"/>
      <c r="J62" s="83"/>
      <c r="K62" s="83"/>
      <c r="L62" s="83"/>
      <c r="M62" s="83"/>
      <c r="N62" s="83"/>
      <c r="O62" s="182"/>
    </row>
    <row r="63" spans="1:15" s="165" customFormat="1" ht="15.75">
      <c r="A63" s="190"/>
      <c r="B63" s="538" t="s">
        <v>68</v>
      </c>
      <c r="C63" s="82">
        <v>112079</v>
      </c>
      <c r="D63" s="82">
        <f>+D64+D68+D72+D73+D74</f>
        <v>116935</v>
      </c>
      <c r="E63" s="80">
        <f>D63-C63</f>
        <v>4856</v>
      </c>
      <c r="F63" s="559">
        <f>D63/C63*100</f>
        <v>104.33265821429526</v>
      </c>
      <c r="G63" s="83"/>
      <c r="H63" s="187"/>
      <c r="I63" s="83"/>
      <c r="J63" s="83"/>
      <c r="K63" s="83"/>
      <c r="L63" s="83"/>
      <c r="M63" s="83"/>
      <c r="N63" s="83"/>
      <c r="O63" s="182"/>
    </row>
    <row r="64" spans="1:15" s="165" customFormat="1" ht="15.75">
      <c r="A64" s="186" t="s">
        <v>377</v>
      </c>
      <c r="B64" s="534" t="s">
        <v>97</v>
      </c>
      <c r="C64" s="82">
        <v>70378</v>
      </c>
      <c r="D64" s="82">
        <f>D65+D66+D67</f>
        <v>69592</v>
      </c>
      <c r="E64" s="83"/>
      <c r="F64" s="559"/>
      <c r="G64" s="83"/>
      <c r="H64" s="187"/>
      <c r="I64" s="83"/>
      <c r="J64" s="83"/>
      <c r="K64" s="83"/>
      <c r="L64" s="83"/>
      <c r="M64" s="83"/>
      <c r="N64" s="83"/>
      <c r="O64" s="182"/>
    </row>
    <row r="65" spans="1:15" s="168" customFormat="1" ht="15.75">
      <c r="A65" s="355"/>
      <c r="B65" s="536" t="s">
        <v>438</v>
      </c>
      <c r="C65" s="372">
        <v>13131</v>
      </c>
      <c r="D65" s="372">
        <v>11874</v>
      </c>
      <c r="E65" s="91"/>
      <c r="F65" s="561"/>
      <c r="G65" s="91"/>
      <c r="H65" s="184"/>
      <c r="I65" s="91"/>
      <c r="J65" s="91"/>
      <c r="K65" s="91"/>
      <c r="L65" s="91"/>
      <c r="M65" s="91"/>
      <c r="N65" s="91"/>
      <c r="O65" s="182"/>
    </row>
    <row r="66" spans="1:15" s="168" customFormat="1" ht="31.5">
      <c r="A66" s="355"/>
      <c r="B66" s="539" t="s">
        <v>98</v>
      </c>
      <c r="C66" s="372">
        <v>53953</v>
      </c>
      <c r="D66" s="372">
        <v>54290</v>
      </c>
      <c r="E66" s="91"/>
      <c r="F66" s="561"/>
      <c r="G66" s="91"/>
      <c r="H66" s="184"/>
      <c r="I66" s="91"/>
      <c r="J66" s="91"/>
      <c r="K66" s="91"/>
      <c r="L66" s="91"/>
      <c r="M66" s="91"/>
      <c r="N66" s="91"/>
      <c r="O66" s="182"/>
    </row>
    <row r="67" spans="1:15" s="168" customFormat="1" ht="31.5">
      <c r="A67" s="355"/>
      <c r="B67" s="539" t="s">
        <v>99</v>
      </c>
      <c r="C67" s="372">
        <v>3294</v>
      </c>
      <c r="D67" s="372">
        <v>3428</v>
      </c>
      <c r="E67" s="91"/>
      <c r="F67" s="561"/>
      <c r="G67" s="91"/>
      <c r="H67" s="184"/>
      <c r="I67" s="91"/>
      <c r="J67" s="91"/>
      <c r="K67" s="91"/>
      <c r="L67" s="91"/>
      <c r="M67" s="91"/>
      <c r="N67" s="91"/>
      <c r="O67" s="182"/>
    </row>
    <row r="68" spans="1:15" s="165" customFormat="1" ht="15.75">
      <c r="A68" s="186" t="s">
        <v>378</v>
      </c>
      <c r="B68" s="534" t="s">
        <v>100</v>
      </c>
      <c r="C68" s="82">
        <v>39725</v>
      </c>
      <c r="D68" s="82">
        <f>+D69+D70+D71</f>
        <v>43007</v>
      </c>
      <c r="E68" s="83"/>
      <c r="F68" s="559"/>
      <c r="G68" s="83"/>
      <c r="H68" s="187"/>
      <c r="I68" s="83"/>
      <c r="J68" s="83"/>
      <c r="K68" s="83"/>
      <c r="L68" s="83"/>
      <c r="M68" s="83"/>
      <c r="N68" s="83"/>
      <c r="O68" s="182"/>
    </row>
    <row r="69" spans="1:15" s="168" customFormat="1" ht="31.5">
      <c r="A69" s="355"/>
      <c r="B69" s="536" t="s">
        <v>439</v>
      </c>
      <c r="C69" s="372">
        <v>6022</v>
      </c>
      <c r="D69" s="372">
        <v>8444</v>
      </c>
      <c r="E69" s="91"/>
      <c r="F69" s="561"/>
      <c r="G69" s="91"/>
      <c r="H69" s="184"/>
      <c r="I69" s="91"/>
      <c r="J69" s="91"/>
      <c r="K69" s="91"/>
      <c r="L69" s="91"/>
      <c r="M69" s="91"/>
      <c r="N69" s="91"/>
      <c r="O69" s="182"/>
    </row>
    <row r="70" spans="1:15" s="168" customFormat="1" ht="47.25">
      <c r="A70" s="355"/>
      <c r="B70" s="536" t="s">
        <v>101</v>
      </c>
      <c r="C70" s="372">
        <v>27354</v>
      </c>
      <c r="D70" s="372">
        <v>29967</v>
      </c>
      <c r="E70" s="91"/>
      <c r="F70" s="561"/>
      <c r="G70" s="91"/>
      <c r="H70" s="184"/>
      <c r="I70" s="91"/>
      <c r="J70" s="91"/>
      <c r="K70" s="91"/>
      <c r="L70" s="91"/>
      <c r="M70" s="91"/>
      <c r="N70" s="91"/>
      <c r="O70" s="182"/>
    </row>
    <row r="71" spans="1:15" s="168" customFormat="1" ht="31.5">
      <c r="A71" s="355"/>
      <c r="B71" s="536" t="s">
        <v>102</v>
      </c>
      <c r="C71" s="372">
        <v>6349</v>
      </c>
      <c r="D71" s="372">
        <v>4596</v>
      </c>
      <c r="E71" s="91"/>
      <c r="F71" s="561"/>
      <c r="G71" s="91"/>
      <c r="H71" s="184"/>
      <c r="I71" s="91"/>
      <c r="J71" s="91"/>
      <c r="K71" s="91"/>
      <c r="L71" s="91"/>
      <c r="M71" s="91"/>
      <c r="N71" s="91"/>
      <c r="O71" s="182"/>
    </row>
    <row r="72" spans="1:15" s="165" customFormat="1" ht="47.25">
      <c r="A72" s="186" t="s">
        <v>457</v>
      </c>
      <c r="B72" s="557" t="s">
        <v>103</v>
      </c>
      <c r="C72" s="82">
        <v>189</v>
      </c>
      <c r="D72" s="82">
        <v>214</v>
      </c>
      <c r="E72" s="83"/>
      <c r="F72" s="559"/>
      <c r="G72" s="83"/>
      <c r="H72" s="187"/>
      <c r="I72" s="83"/>
      <c r="J72" s="83"/>
      <c r="K72" s="83"/>
      <c r="L72" s="83"/>
      <c r="M72" s="83"/>
      <c r="N72" s="83"/>
      <c r="O72" s="182"/>
    </row>
    <row r="73" spans="1:15" s="165" customFormat="1" ht="15.75">
      <c r="A73" s="186" t="s">
        <v>599</v>
      </c>
      <c r="B73" s="557" t="s">
        <v>104</v>
      </c>
      <c r="C73" s="82">
        <v>929</v>
      </c>
      <c r="D73" s="82">
        <v>3032</v>
      </c>
      <c r="E73" s="83"/>
      <c r="F73" s="559"/>
      <c r="G73" s="83"/>
      <c r="H73" s="187"/>
      <c r="I73" s="83"/>
      <c r="J73" s="83"/>
      <c r="K73" s="83"/>
      <c r="L73" s="83"/>
      <c r="M73" s="83"/>
      <c r="N73" s="83"/>
      <c r="O73" s="182"/>
    </row>
    <row r="74" spans="1:15" s="165" customFormat="1" ht="15.75">
      <c r="A74" s="186" t="s">
        <v>600</v>
      </c>
      <c r="B74" s="557" t="s">
        <v>105</v>
      </c>
      <c r="C74" s="82">
        <v>858</v>
      </c>
      <c r="D74" s="82">
        <v>1090</v>
      </c>
      <c r="E74" s="83"/>
      <c r="F74" s="559"/>
      <c r="G74" s="83"/>
      <c r="H74" s="187"/>
      <c r="I74" s="83"/>
      <c r="J74" s="83"/>
      <c r="K74" s="83"/>
      <c r="L74" s="83"/>
      <c r="M74" s="83"/>
      <c r="N74" s="83"/>
      <c r="O74" s="182"/>
    </row>
    <row r="75" spans="1:15" s="167" customFormat="1" ht="15.75">
      <c r="A75" s="190">
        <v>2</v>
      </c>
      <c r="B75" s="532" t="s">
        <v>106</v>
      </c>
      <c r="C75" s="74">
        <f>SUM(C76:C77)</f>
        <v>216700</v>
      </c>
      <c r="D75" s="74">
        <f>SUM(D76:D77)</f>
        <v>315950</v>
      </c>
      <c r="E75" s="73">
        <f>D75-C75</f>
        <v>99250</v>
      </c>
      <c r="F75" s="559">
        <f>D75/C75*100</f>
        <v>145.80064605445315</v>
      </c>
      <c r="G75" s="89"/>
      <c r="H75" s="361"/>
      <c r="I75" s="89"/>
      <c r="J75" s="89"/>
      <c r="K75" s="89"/>
      <c r="L75" s="89"/>
      <c r="M75" s="89"/>
      <c r="N75" s="89"/>
      <c r="O75" s="182"/>
    </row>
    <row r="76" spans="1:15" s="165" customFormat="1" ht="15.75">
      <c r="A76" s="190"/>
      <c r="B76" s="538" t="s">
        <v>67</v>
      </c>
      <c r="C76" s="82">
        <v>141100</v>
      </c>
      <c r="D76" s="82">
        <v>239650</v>
      </c>
      <c r="E76" s="80">
        <f>D76-C76</f>
        <v>98550</v>
      </c>
      <c r="F76" s="559">
        <f>D76/C76*100</f>
        <v>169.84408221119773</v>
      </c>
      <c r="G76" s="83"/>
      <c r="H76" s="187"/>
      <c r="I76" s="83"/>
      <c r="J76" s="83"/>
      <c r="K76" s="83"/>
      <c r="L76" s="83"/>
      <c r="M76" s="83"/>
      <c r="N76" s="83"/>
      <c r="O76" s="182"/>
    </row>
    <row r="77" spans="1:15" s="165" customFormat="1" ht="15.75">
      <c r="A77" s="186"/>
      <c r="B77" s="538" t="s">
        <v>68</v>
      </c>
      <c r="C77" s="82">
        <v>75600</v>
      </c>
      <c r="D77" s="82">
        <v>76300</v>
      </c>
      <c r="E77" s="80">
        <f>D77-C77</f>
        <v>700</v>
      </c>
      <c r="F77" s="559">
        <f>D77/C77*100</f>
        <v>100.92592592592592</v>
      </c>
      <c r="G77" s="83"/>
      <c r="H77" s="187"/>
      <c r="I77" s="83"/>
      <c r="J77" s="83"/>
      <c r="K77" s="83"/>
      <c r="L77" s="83"/>
      <c r="M77" s="83"/>
      <c r="N77" s="83"/>
      <c r="O77" s="182"/>
    </row>
    <row r="78" spans="1:15" s="165" customFormat="1" ht="15.75">
      <c r="A78" s="190" t="s">
        <v>10</v>
      </c>
      <c r="B78" s="532" t="s">
        <v>107</v>
      </c>
      <c r="C78" s="73">
        <f>SUM(C79,C80,C92)</f>
        <v>1230299</v>
      </c>
      <c r="D78" s="73">
        <f>SUM(D79,D80,D92)</f>
        <v>478004</v>
      </c>
      <c r="E78" s="73">
        <f>D78-C78</f>
        <v>-752295</v>
      </c>
      <c r="F78" s="559">
        <f>D78/C78*100</f>
        <v>38.85266914790632</v>
      </c>
      <c r="G78" s="357"/>
      <c r="H78" s="360"/>
      <c r="I78" s="357"/>
      <c r="J78" s="357"/>
      <c r="K78" s="357"/>
      <c r="L78" s="357"/>
      <c r="M78" s="357"/>
      <c r="N78" s="357"/>
      <c r="O78" s="182"/>
    </row>
    <row r="79" spans="1:15" s="167" customFormat="1" ht="15.75">
      <c r="A79" s="190">
        <v>1</v>
      </c>
      <c r="B79" s="532" t="s">
        <v>108</v>
      </c>
      <c r="C79" s="74">
        <v>271159</v>
      </c>
      <c r="D79" s="74">
        <v>155254</v>
      </c>
      <c r="E79" s="73">
        <f>D79-C79</f>
        <v>-115905</v>
      </c>
      <c r="F79" s="559">
        <f>D79/C79*100</f>
        <v>57.25570606175713</v>
      </c>
      <c r="G79" s="357"/>
      <c r="H79" s="360"/>
      <c r="I79" s="357"/>
      <c r="J79" s="357"/>
      <c r="K79" s="357"/>
      <c r="L79" s="357"/>
      <c r="M79" s="357"/>
      <c r="N79" s="357"/>
      <c r="O79" s="182"/>
    </row>
    <row r="80" spans="1:15" s="167" customFormat="1" ht="15.75">
      <c r="A80" s="190">
        <v>2</v>
      </c>
      <c r="B80" s="532" t="s">
        <v>109</v>
      </c>
      <c r="C80" s="74">
        <f>SUM(C82:C91)</f>
        <v>266100</v>
      </c>
      <c r="D80" s="74">
        <f>SUM(D82:D91)</f>
        <v>262360</v>
      </c>
      <c r="E80" s="73">
        <f aca="true" t="shared" si="0" ref="E80:E90">D80-C80</f>
        <v>-3740</v>
      </c>
      <c r="F80" s="559">
        <f aca="true" t="shared" si="1" ref="F80:F90">D80/C80*100</f>
        <v>98.5945133408493</v>
      </c>
      <c r="G80" s="89"/>
      <c r="H80" s="361"/>
      <c r="I80" s="89"/>
      <c r="J80" s="89"/>
      <c r="K80" s="89"/>
      <c r="L80" s="89"/>
      <c r="M80" s="89"/>
      <c r="N80" s="89"/>
      <c r="O80" s="182"/>
    </row>
    <row r="81" spans="1:15" s="165" customFormat="1" ht="15.75">
      <c r="A81" s="186" t="s">
        <v>110</v>
      </c>
      <c r="B81" s="534" t="s">
        <v>111</v>
      </c>
      <c r="C81" s="82">
        <f>SUM(C82:C90)</f>
        <v>225000</v>
      </c>
      <c r="D81" s="82">
        <f>SUM(D82:D90)</f>
        <v>262360</v>
      </c>
      <c r="E81" s="81">
        <f t="shared" si="0"/>
        <v>37360</v>
      </c>
      <c r="F81" s="559">
        <f t="shared" si="1"/>
        <v>116.60444444444444</v>
      </c>
      <c r="G81" s="83"/>
      <c r="H81" s="187"/>
      <c r="I81" s="83"/>
      <c r="J81" s="83"/>
      <c r="K81" s="83"/>
      <c r="L81" s="83"/>
      <c r="M81" s="83"/>
      <c r="N81" s="83"/>
      <c r="O81" s="182"/>
    </row>
    <row r="82" spans="1:15" s="165" customFormat="1" ht="15.75">
      <c r="A82" s="186"/>
      <c r="B82" s="536" t="s">
        <v>309</v>
      </c>
      <c r="C82" s="372">
        <v>116617</v>
      </c>
      <c r="D82" s="372">
        <v>137630</v>
      </c>
      <c r="E82" s="81">
        <f t="shared" si="0"/>
        <v>21013</v>
      </c>
      <c r="F82" s="559">
        <f t="shared" si="1"/>
        <v>118.0188137235566</v>
      </c>
      <c r="G82" s="83"/>
      <c r="H82" s="187"/>
      <c r="I82" s="83"/>
      <c r="J82" s="83"/>
      <c r="K82" s="83"/>
      <c r="L82" s="83"/>
      <c r="M82" s="83"/>
      <c r="N82" s="83"/>
      <c r="O82" s="182"/>
    </row>
    <row r="83" spans="1:15" s="165" customFormat="1" ht="15.75">
      <c r="A83" s="186"/>
      <c r="B83" s="536" t="s">
        <v>310</v>
      </c>
      <c r="C83" s="372">
        <v>42539</v>
      </c>
      <c r="D83" s="372">
        <v>46877</v>
      </c>
      <c r="E83" s="81">
        <f t="shared" si="0"/>
        <v>4338</v>
      </c>
      <c r="F83" s="559">
        <f t="shared" si="1"/>
        <v>110.19770093326125</v>
      </c>
      <c r="G83" s="83"/>
      <c r="H83" s="187"/>
      <c r="I83" s="83"/>
      <c r="J83" s="83"/>
      <c r="K83" s="83"/>
      <c r="L83" s="83"/>
      <c r="M83" s="83"/>
      <c r="N83" s="83"/>
      <c r="O83" s="182"/>
    </row>
    <row r="84" spans="1:15" s="165" customFormat="1" ht="15.75">
      <c r="A84" s="186"/>
      <c r="B84" s="536" t="s">
        <v>311</v>
      </c>
      <c r="C84" s="372">
        <v>3326</v>
      </c>
      <c r="D84" s="372">
        <v>12743</v>
      </c>
      <c r="E84" s="81">
        <f t="shared" si="0"/>
        <v>9417</v>
      </c>
      <c r="F84" s="559"/>
      <c r="G84" s="83"/>
      <c r="H84" s="187"/>
      <c r="I84" s="83"/>
      <c r="J84" s="83"/>
      <c r="K84" s="83"/>
      <c r="L84" s="83"/>
      <c r="M84" s="83"/>
      <c r="N84" s="83"/>
      <c r="O84" s="182"/>
    </row>
    <row r="85" spans="1:15" s="165" customFormat="1" ht="31.5">
      <c r="A85" s="186"/>
      <c r="B85" s="536" t="s">
        <v>312</v>
      </c>
      <c r="C85" s="372">
        <v>11518</v>
      </c>
      <c r="D85" s="372">
        <v>27044</v>
      </c>
      <c r="E85" s="81">
        <f t="shared" si="0"/>
        <v>15526</v>
      </c>
      <c r="F85" s="559">
        <f t="shared" si="1"/>
        <v>234.79770793540547</v>
      </c>
      <c r="G85" s="83"/>
      <c r="H85" s="187"/>
      <c r="I85" s="83"/>
      <c r="J85" s="83"/>
      <c r="K85" s="83"/>
      <c r="L85" s="83"/>
      <c r="M85" s="83"/>
      <c r="N85" s="83"/>
      <c r="O85" s="182"/>
    </row>
    <row r="86" spans="1:15" s="165" customFormat="1" ht="15.75">
      <c r="A86" s="186"/>
      <c r="B86" s="536" t="s">
        <v>313</v>
      </c>
      <c r="C86" s="372">
        <v>14000</v>
      </c>
      <c r="D86" s="372">
        <v>18580</v>
      </c>
      <c r="E86" s="81">
        <f t="shared" si="0"/>
        <v>4580</v>
      </c>
      <c r="F86" s="559">
        <f t="shared" si="1"/>
        <v>132.71428571428572</v>
      </c>
      <c r="G86" s="83"/>
      <c r="H86" s="187"/>
      <c r="I86" s="83"/>
      <c r="J86" s="83"/>
      <c r="K86" s="83"/>
      <c r="L86" s="83"/>
      <c r="M86" s="83"/>
      <c r="N86" s="83"/>
      <c r="O86" s="182"/>
    </row>
    <row r="87" spans="1:15" s="165" customFormat="1" ht="47.25">
      <c r="A87" s="186"/>
      <c r="B87" s="536" t="s">
        <v>314</v>
      </c>
      <c r="C87" s="372">
        <v>9000</v>
      </c>
      <c r="D87" s="372"/>
      <c r="E87" s="81">
        <f t="shared" si="0"/>
        <v>-9000</v>
      </c>
      <c r="F87" s="559">
        <f t="shared" si="1"/>
        <v>0</v>
      </c>
      <c r="G87" s="83"/>
      <c r="H87" s="187"/>
      <c r="I87" s="83"/>
      <c r="J87" s="83"/>
      <c r="K87" s="83"/>
      <c r="L87" s="83"/>
      <c r="M87" s="83"/>
      <c r="N87" s="83"/>
      <c r="O87" s="182"/>
    </row>
    <row r="88" spans="1:15" s="165" customFormat="1" ht="15.75">
      <c r="A88" s="186"/>
      <c r="B88" s="536" t="s">
        <v>315</v>
      </c>
      <c r="C88" s="372">
        <v>8000</v>
      </c>
      <c r="D88" s="372"/>
      <c r="E88" s="81">
        <f t="shared" si="0"/>
        <v>-8000</v>
      </c>
      <c r="F88" s="559"/>
      <c r="G88" s="83"/>
      <c r="H88" s="187"/>
      <c r="I88" s="83"/>
      <c r="J88" s="83"/>
      <c r="K88" s="83"/>
      <c r="L88" s="83"/>
      <c r="M88" s="83"/>
      <c r="N88" s="83"/>
      <c r="O88" s="182"/>
    </row>
    <row r="89" spans="1:15" s="165" customFormat="1" ht="15.75">
      <c r="A89" s="186"/>
      <c r="B89" s="536" t="s">
        <v>316</v>
      </c>
      <c r="C89" s="372">
        <v>10000</v>
      </c>
      <c r="D89" s="372"/>
      <c r="E89" s="81">
        <f t="shared" si="0"/>
        <v>-10000</v>
      </c>
      <c r="F89" s="559">
        <f t="shared" si="1"/>
        <v>0</v>
      </c>
      <c r="G89" s="83"/>
      <c r="H89" s="187"/>
      <c r="I89" s="83"/>
      <c r="J89" s="83"/>
      <c r="K89" s="83"/>
      <c r="L89" s="83"/>
      <c r="M89" s="83"/>
      <c r="N89" s="83"/>
      <c r="O89" s="182"/>
    </row>
    <row r="90" spans="1:15" s="165" customFormat="1" ht="15.75">
      <c r="A90" s="186"/>
      <c r="B90" s="536" t="s">
        <v>317</v>
      </c>
      <c r="C90" s="372">
        <v>10000</v>
      </c>
      <c r="D90" s="372">
        <v>19486</v>
      </c>
      <c r="E90" s="81">
        <f t="shared" si="0"/>
        <v>9486</v>
      </c>
      <c r="F90" s="559">
        <f t="shared" si="1"/>
        <v>194.86</v>
      </c>
      <c r="G90" s="83"/>
      <c r="H90" s="187"/>
      <c r="I90" s="83"/>
      <c r="J90" s="83"/>
      <c r="K90" s="83"/>
      <c r="L90" s="83"/>
      <c r="M90" s="83"/>
      <c r="N90" s="83"/>
      <c r="O90" s="182"/>
    </row>
    <row r="91" spans="1:15" s="165" customFormat="1" ht="31.5" customHeight="1">
      <c r="A91" s="186" t="s">
        <v>112</v>
      </c>
      <c r="B91" s="534" t="s">
        <v>295</v>
      </c>
      <c r="C91" s="82">
        <v>41100</v>
      </c>
      <c r="D91" s="82"/>
      <c r="E91" s="83"/>
      <c r="F91" s="559"/>
      <c r="G91" s="83"/>
      <c r="H91" s="187"/>
      <c r="I91" s="83"/>
      <c r="J91" s="83"/>
      <c r="K91" s="83"/>
      <c r="L91" s="83"/>
      <c r="M91" s="83"/>
      <c r="N91" s="83"/>
      <c r="O91" s="182"/>
    </row>
    <row r="92" spans="1:15" s="167" customFormat="1" ht="15.75" customHeight="1">
      <c r="A92" s="190">
        <v>3</v>
      </c>
      <c r="B92" s="532" t="s">
        <v>307</v>
      </c>
      <c r="C92" s="74">
        <f>390000+303040</f>
        <v>693040</v>
      </c>
      <c r="D92" s="74">
        <v>60390</v>
      </c>
      <c r="E92" s="89"/>
      <c r="F92" s="560"/>
      <c r="G92" s="89"/>
      <c r="H92" s="361"/>
      <c r="I92" s="89"/>
      <c r="J92" s="89"/>
      <c r="K92" s="89"/>
      <c r="L92" s="89"/>
      <c r="M92" s="89"/>
      <c r="N92" s="89"/>
      <c r="O92" s="182"/>
    </row>
    <row r="93" spans="1:15" s="165" customFormat="1" ht="31.5">
      <c r="A93" s="190" t="s">
        <v>14</v>
      </c>
      <c r="B93" s="532" t="s">
        <v>281</v>
      </c>
      <c r="C93" s="74">
        <f>SUM(C94,C106:C119)</f>
        <v>187091</v>
      </c>
      <c r="D93" s="74">
        <f>SUM(D94,D106:D124)</f>
        <v>218804</v>
      </c>
      <c r="E93" s="73">
        <f>D93-C93</f>
        <v>31713</v>
      </c>
      <c r="F93" s="559">
        <f>D93/C93*100</f>
        <v>116.95057485394808</v>
      </c>
      <c r="G93" s="357" t="e">
        <f>D93-#REF!</f>
        <v>#REF!</v>
      </c>
      <c r="H93" s="360"/>
      <c r="I93" s="357"/>
      <c r="J93" s="357"/>
      <c r="K93" s="357"/>
      <c r="L93" s="357"/>
      <c r="M93" s="357"/>
      <c r="N93" s="357"/>
      <c r="O93" s="182">
        <f>D93-218804</f>
        <v>0</v>
      </c>
    </row>
    <row r="94" spans="1:15" s="188" customFormat="1" ht="15.75">
      <c r="A94" s="186">
        <v>1</v>
      </c>
      <c r="B94" s="534" t="s">
        <v>454</v>
      </c>
      <c r="C94" s="82">
        <v>84559</v>
      </c>
      <c r="D94" s="82">
        <f>D95+D104</f>
        <v>55707</v>
      </c>
      <c r="E94" s="80">
        <f aca="true" t="shared" si="2" ref="E94:E124">D94-C94</f>
        <v>-28852</v>
      </c>
      <c r="F94" s="559">
        <f>D94/C94*100</f>
        <v>65.87944512115801</v>
      </c>
      <c r="G94" s="83"/>
      <c r="H94" s="187"/>
      <c r="I94" s="83"/>
      <c r="J94" s="83"/>
      <c r="K94" s="83"/>
      <c r="L94" s="83"/>
      <c r="M94" s="83"/>
      <c r="N94" s="83"/>
      <c r="O94" s="182"/>
    </row>
    <row r="95" spans="1:15" s="188" customFormat="1" ht="15.75">
      <c r="A95" s="186" t="s">
        <v>377</v>
      </c>
      <c r="B95" s="534" t="s">
        <v>602</v>
      </c>
      <c r="C95" s="82">
        <v>47700</v>
      </c>
      <c r="D95" s="82">
        <v>20545</v>
      </c>
      <c r="E95" s="80">
        <f t="shared" si="2"/>
        <v>-27155</v>
      </c>
      <c r="F95" s="559"/>
      <c r="G95" s="83"/>
      <c r="H95" s="187"/>
      <c r="I95" s="83"/>
      <c r="J95" s="83"/>
      <c r="K95" s="83"/>
      <c r="L95" s="83"/>
      <c r="M95" s="83"/>
      <c r="N95" s="83"/>
      <c r="O95" s="182"/>
    </row>
    <row r="96" spans="1:15" s="188" customFormat="1" ht="15.75">
      <c r="A96" s="186"/>
      <c r="B96" s="533" t="s">
        <v>458</v>
      </c>
      <c r="C96" s="372">
        <v>4500</v>
      </c>
      <c r="D96" s="372">
        <v>7969</v>
      </c>
      <c r="E96" s="80">
        <f t="shared" si="2"/>
        <v>3469</v>
      </c>
      <c r="F96" s="559"/>
      <c r="G96" s="83"/>
      <c r="H96" s="187"/>
      <c r="I96" s="83"/>
      <c r="J96" s="83"/>
      <c r="K96" s="83"/>
      <c r="L96" s="83"/>
      <c r="M96" s="83"/>
      <c r="N96" s="83"/>
      <c r="O96" s="182"/>
    </row>
    <row r="97" spans="1:15" s="165" customFormat="1" ht="31.5">
      <c r="A97" s="186"/>
      <c r="B97" s="534" t="s">
        <v>459</v>
      </c>
      <c r="C97" s="82">
        <v>600</v>
      </c>
      <c r="D97" s="82">
        <v>4230</v>
      </c>
      <c r="E97" s="80">
        <f>D97-C97</f>
        <v>3630</v>
      </c>
      <c r="F97" s="559">
        <f>D97/C97*100</f>
        <v>705</v>
      </c>
      <c r="G97" s="83"/>
      <c r="H97" s="187"/>
      <c r="I97" s="83"/>
      <c r="J97" s="83"/>
      <c r="K97" s="83"/>
      <c r="L97" s="83"/>
      <c r="M97" s="83"/>
      <c r="N97" s="83"/>
      <c r="O97" s="182"/>
    </row>
    <row r="98" spans="1:15" s="188" customFormat="1" ht="15.75">
      <c r="A98" s="186"/>
      <c r="B98" s="534" t="s">
        <v>460</v>
      </c>
      <c r="C98" s="82">
        <v>1400</v>
      </c>
      <c r="D98" s="82">
        <v>539</v>
      </c>
      <c r="E98" s="80">
        <f>D98-C98</f>
        <v>-861</v>
      </c>
      <c r="F98" s="559">
        <f>D98/C98*100</f>
        <v>38.5</v>
      </c>
      <c r="G98" s="83"/>
      <c r="H98" s="187"/>
      <c r="I98" s="83"/>
      <c r="J98" s="83"/>
      <c r="K98" s="83"/>
      <c r="L98" s="83"/>
      <c r="M98" s="83"/>
      <c r="N98" s="83"/>
      <c r="O98" s="182"/>
    </row>
    <row r="99" spans="1:15" s="188" customFormat="1" ht="31.5">
      <c r="A99" s="186"/>
      <c r="B99" s="534" t="s">
        <v>461</v>
      </c>
      <c r="C99" s="82">
        <v>800</v>
      </c>
      <c r="D99" s="82"/>
      <c r="E99" s="80">
        <f>D99-C99</f>
        <v>-800</v>
      </c>
      <c r="F99" s="559">
        <f>D99/C99*100</f>
        <v>0</v>
      </c>
      <c r="G99" s="83"/>
      <c r="H99" s="187"/>
      <c r="I99" s="83"/>
      <c r="J99" s="83"/>
      <c r="K99" s="83"/>
      <c r="L99" s="83"/>
      <c r="M99" s="83"/>
      <c r="N99" s="83"/>
      <c r="O99" s="182"/>
    </row>
    <row r="100" spans="1:15" s="188" customFormat="1" ht="31.5">
      <c r="A100" s="186"/>
      <c r="B100" s="534" t="s">
        <v>462</v>
      </c>
      <c r="C100" s="82">
        <v>1700</v>
      </c>
      <c r="D100" s="82">
        <v>3200</v>
      </c>
      <c r="E100" s="80">
        <f t="shared" si="2"/>
        <v>1500</v>
      </c>
      <c r="F100" s="559">
        <f>D100/C100*100</f>
        <v>188.23529411764704</v>
      </c>
      <c r="G100" s="83"/>
      <c r="H100" s="187"/>
      <c r="I100" s="83"/>
      <c r="J100" s="83"/>
      <c r="K100" s="83"/>
      <c r="L100" s="83"/>
      <c r="M100" s="83"/>
      <c r="N100" s="83"/>
      <c r="O100" s="182"/>
    </row>
    <row r="101" spans="1:15" s="188" customFormat="1" ht="15.75">
      <c r="A101" s="186"/>
      <c r="B101" s="534" t="s">
        <v>463</v>
      </c>
      <c r="C101" s="82">
        <v>43200</v>
      </c>
      <c r="D101" s="82">
        <f>D102+D103</f>
        <v>12576</v>
      </c>
      <c r="E101" s="80">
        <f t="shared" si="2"/>
        <v>-30624</v>
      </c>
      <c r="F101" s="559"/>
      <c r="G101" s="83"/>
      <c r="H101" s="187"/>
      <c r="I101" s="83"/>
      <c r="J101" s="83"/>
      <c r="K101" s="83"/>
      <c r="L101" s="83"/>
      <c r="M101" s="83"/>
      <c r="N101" s="83"/>
      <c r="O101" s="182"/>
    </row>
    <row r="102" spans="1:15" s="185" customFormat="1" ht="15.75">
      <c r="A102" s="183"/>
      <c r="B102" s="536" t="s">
        <v>464</v>
      </c>
      <c r="C102" s="372">
        <v>36300</v>
      </c>
      <c r="D102" s="372">
        <v>10000</v>
      </c>
      <c r="E102" s="80">
        <f t="shared" si="2"/>
        <v>-26300</v>
      </c>
      <c r="F102" s="559"/>
      <c r="G102" s="91"/>
      <c r="H102" s="184"/>
      <c r="I102" s="91"/>
      <c r="J102" s="91"/>
      <c r="K102" s="91"/>
      <c r="L102" s="91"/>
      <c r="M102" s="91"/>
      <c r="N102" s="91"/>
      <c r="O102" s="182"/>
    </row>
    <row r="103" spans="1:15" s="185" customFormat="1" ht="31.5">
      <c r="A103" s="183"/>
      <c r="B103" s="536" t="s">
        <v>465</v>
      </c>
      <c r="C103" s="372">
        <v>6900</v>
      </c>
      <c r="D103" s="372">
        <v>2576</v>
      </c>
      <c r="E103" s="80">
        <f t="shared" si="2"/>
        <v>-4324</v>
      </c>
      <c r="F103" s="559"/>
      <c r="G103" s="91"/>
      <c r="H103" s="184"/>
      <c r="I103" s="91"/>
      <c r="J103" s="91"/>
      <c r="K103" s="91"/>
      <c r="L103" s="91"/>
      <c r="M103" s="91"/>
      <c r="N103" s="91"/>
      <c r="O103" s="182"/>
    </row>
    <row r="104" spans="1:15" s="185" customFormat="1" ht="31.5">
      <c r="A104" s="186" t="s">
        <v>378</v>
      </c>
      <c r="B104" s="534" t="s">
        <v>601</v>
      </c>
      <c r="C104" s="82">
        <v>36859</v>
      </c>
      <c r="D104" s="82">
        <v>35162</v>
      </c>
      <c r="E104" s="80">
        <f t="shared" si="2"/>
        <v>-1697</v>
      </c>
      <c r="F104" s="559"/>
      <c r="G104" s="91"/>
      <c r="H104" s="184"/>
      <c r="I104" s="91"/>
      <c r="J104" s="91"/>
      <c r="K104" s="91"/>
      <c r="L104" s="91"/>
      <c r="M104" s="91"/>
      <c r="N104" s="91"/>
      <c r="O104" s="182"/>
    </row>
    <row r="105" spans="1:15" s="165" customFormat="1" ht="15.75">
      <c r="A105" s="186"/>
      <c r="B105" s="534" t="s">
        <v>466</v>
      </c>
      <c r="C105" s="82">
        <v>36859</v>
      </c>
      <c r="D105" s="82">
        <v>35162</v>
      </c>
      <c r="E105" s="80">
        <f t="shared" si="2"/>
        <v>-1697</v>
      </c>
      <c r="F105" s="559"/>
      <c r="G105" s="83"/>
      <c r="H105" s="187"/>
      <c r="I105" s="83"/>
      <c r="J105" s="83"/>
      <c r="K105" s="83"/>
      <c r="L105" s="83"/>
      <c r="M105" s="83"/>
      <c r="N105" s="83"/>
      <c r="O105" s="182"/>
    </row>
    <row r="106" spans="1:15" s="165" customFormat="1" ht="31.5">
      <c r="A106" s="186">
        <v>2</v>
      </c>
      <c r="B106" s="534" t="s">
        <v>114</v>
      </c>
      <c r="C106" s="82">
        <v>47000</v>
      </c>
      <c r="D106" s="82">
        <v>50000</v>
      </c>
      <c r="E106" s="80">
        <f t="shared" si="2"/>
        <v>3000</v>
      </c>
      <c r="F106" s="559"/>
      <c r="G106" s="83"/>
      <c r="H106" s="187"/>
      <c r="I106" s="83"/>
      <c r="J106" s="83"/>
      <c r="K106" s="83"/>
      <c r="L106" s="83"/>
      <c r="M106" s="83"/>
      <c r="N106" s="83"/>
      <c r="O106" s="182"/>
    </row>
    <row r="107" spans="1:15" s="165" customFormat="1" ht="31.5">
      <c r="A107" s="186">
        <v>3</v>
      </c>
      <c r="B107" s="534" t="s">
        <v>116</v>
      </c>
      <c r="C107" s="82">
        <v>2086</v>
      </c>
      <c r="D107" s="82">
        <v>3427</v>
      </c>
      <c r="E107" s="80">
        <f t="shared" si="2"/>
        <v>1341</v>
      </c>
      <c r="F107" s="559"/>
      <c r="G107" s="83"/>
      <c r="H107" s="187"/>
      <c r="I107" s="83"/>
      <c r="J107" s="83"/>
      <c r="K107" s="83"/>
      <c r="L107" s="83"/>
      <c r="M107" s="83"/>
      <c r="N107" s="83"/>
      <c r="O107" s="182"/>
    </row>
    <row r="108" spans="1:15" s="165" customFormat="1" ht="15.75">
      <c r="A108" s="186">
        <v>4</v>
      </c>
      <c r="B108" s="534" t="s">
        <v>115</v>
      </c>
      <c r="C108" s="82">
        <v>1610</v>
      </c>
      <c r="D108" s="82">
        <v>1610</v>
      </c>
      <c r="E108" s="80">
        <f t="shared" si="2"/>
        <v>0</v>
      </c>
      <c r="F108" s="559"/>
      <c r="G108" s="83"/>
      <c r="H108" s="187"/>
      <c r="I108" s="83"/>
      <c r="J108" s="83"/>
      <c r="K108" s="83"/>
      <c r="L108" s="83"/>
      <c r="M108" s="83"/>
      <c r="N108" s="83"/>
      <c r="O108" s="182"/>
    </row>
    <row r="109" spans="1:15" s="165" customFormat="1" ht="15.75">
      <c r="A109" s="186">
        <v>5</v>
      </c>
      <c r="B109" s="534" t="s">
        <v>368</v>
      </c>
      <c r="C109" s="82">
        <v>580</v>
      </c>
      <c r="D109" s="82">
        <v>580</v>
      </c>
      <c r="E109" s="80">
        <f t="shared" si="2"/>
        <v>0</v>
      </c>
      <c r="F109" s="559"/>
      <c r="G109" s="83"/>
      <c r="H109" s="187"/>
      <c r="I109" s="83"/>
      <c r="J109" s="83"/>
      <c r="K109" s="83"/>
      <c r="L109" s="83"/>
      <c r="M109" s="83"/>
      <c r="N109" s="83"/>
      <c r="O109" s="182"/>
    </row>
    <row r="110" spans="1:15" s="165" customFormat="1" ht="15.75">
      <c r="A110" s="186">
        <v>6</v>
      </c>
      <c r="B110" s="534" t="s">
        <v>294</v>
      </c>
      <c r="C110" s="82">
        <v>300</v>
      </c>
      <c r="D110" s="82"/>
      <c r="E110" s="80">
        <f t="shared" si="2"/>
        <v>-300</v>
      </c>
      <c r="F110" s="559"/>
      <c r="G110" s="83"/>
      <c r="H110" s="187"/>
      <c r="I110" s="83"/>
      <c r="J110" s="83"/>
      <c r="K110" s="83"/>
      <c r="L110" s="83"/>
      <c r="M110" s="83"/>
      <c r="N110" s="83"/>
      <c r="O110" s="182"/>
    </row>
    <row r="111" spans="1:15" s="165" customFormat="1" ht="15.75">
      <c r="A111" s="186">
        <v>7</v>
      </c>
      <c r="B111" s="534" t="s">
        <v>118</v>
      </c>
      <c r="C111" s="82">
        <v>3580</v>
      </c>
      <c r="D111" s="82">
        <v>9760</v>
      </c>
      <c r="E111" s="80">
        <f t="shared" si="2"/>
        <v>6180</v>
      </c>
      <c r="F111" s="559"/>
      <c r="G111" s="83"/>
      <c r="H111" s="187"/>
      <c r="I111" s="83"/>
      <c r="J111" s="83"/>
      <c r="K111" s="83"/>
      <c r="L111" s="83"/>
      <c r="M111" s="83"/>
      <c r="N111" s="83"/>
      <c r="O111" s="182"/>
    </row>
    <row r="112" spans="1:15" s="165" customFormat="1" ht="15.75">
      <c r="A112" s="186">
        <v>8</v>
      </c>
      <c r="B112" s="534" t="s">
        <v>433</v>
      </c>
      <c r="C112" s="82">
        <v>1689</v>
      </c>
      <c r="D112" s="82">
        <v>2413</v>
      </c>
      <c r="E112" s="80">
        <f t="shared" si="2"/>
        <v>724</v>
      </c>
      <c r="F112" s="559"/>
      <c r="G112" s="83"/>
      <c r="H112" s="187"/>
      <c r="I112" s="83"/>
      <c r="J112" s="83"/>
      <c r="K112" s="83"/>
      <c r="L112" s="83"/>
      <c r="M112" s="83"/>
      <c r="N112" s="83"/>
      <c r="O112" s="182"/>
    </row>
    <row r="113" spans="1:15" s="165" customFormat="1" ht="15.75">
      <c r="A113" s="186">
        <v>9</v>
      </c>
      <c r="B113" s="534" t="s">
        <v>123</v>
      </c>
      <c r="C113" s="82">
        <v>8998</v>
      </c>
      <c r="D113" s="82">
        <v>7890</v>
      </c>
      <c r="E113" s="80">
        <f t="shared" si="2"/>
        <v>-1108</v>
      </c>
      <c r="F113" s="559"/>
      <c r="G113" s="83"/>
      <c r="H113" s="187"/>
      <c r="I113" s="83"/>
      <c r="J113" s="83"/>
      <c r="K113" s="83"/>
      <c r="L113" s="83"/>
      <c r="M113" s="83"/>
      <c r="N113" s="83"/>
      <c r="O113" s="182"/>
    </row>
    <row r="114" spans="1:15" s="165" customFormat="1" ht="15.75">
      <c r="A114" s="186">
        <v>10</v>
      </c>
      <c r="B114" s="534" t="s">
        <v>124</v>
      </c>
      <c r="C114" s="82">
        <v>4693</v>
      </c>
      <c r="D114" s="82">
        <v>1133</v>
      </c>
      <c r="E114" s="80">
        <f t="shared" si="2"/>
        <v>-3560</v>
      </c>
      <c r="F114" s="559"/>
      <c r="G114" s="83"/>
      <c r="H114" s="187"/>
      <c r="I114" s="83"/>
      <c r="J114" s="83"/>
      <c r="K114" s="83"/>
      <c r="L114" s="83"/>
      <c r="M114" s="83"/>
      <c r="N114" s="83"/>
      <c r="O114" s="182"/>
    </row>
    <row r="115" spans="1:15" s="165" customFormat="1" ht="31.5">
      <c r="A115" s="186">
        <v>11</v>
      </c>
      <c r="B115" s="534" t="s">
        <v>428</v>
      </c>
      <c r="C115" s="82">
        <v>2950</v>
      </c>
      <c r="D115" s="82">
        <v>3450</v>
      </c>
      <c r="E115" s="80">
        <f t="shared" si="2"/>
        <v>500</v>
      </c>
      <c r="F115" s="559"/>
      <c r="G115" s="83"/>
      <c r="H115" s="187"/>
      <c r="I115" s="83"/>
      <c r="J115" s="83"/>
      <c r="K115" s="83"/>
      <c r="L115" s="83"/>
      <c r="M115" s="83"/>
      <c r="N115" s="83"/>
      <c r="O115" s="182"/>
    </row>
    <row r="116" spans="1:15" s="165" customFormat="1" ht="31.5">
      <c r="A116" s="186">
        <v>12</v>
      </c>
      <c r="B116" s="534" t="s">
        <v>452</v>
      </c>
      <c r="C116" s="82">
        <v>2000</v>
      </c>
      <c r="D116" s="82">
        <v>2600</v>
      </c>
      <c r="E116" s="80">
        <f t="shared" si="2"/>
        <v>600</v>
      </c>
      <c r="F116" s="559"/>
      <c r="G116" s="83"/>
      <c r="H116" s="187"/>
      <c r="I116" s="83"/>
      <c r="J116" s="83"/>
      <c r="K116" s="83"/>
      <c r="L116" s="83"/>
      <c r="M116" s="83"/>
      <c r="N116" s="83"/>
      <c r="O116" s="182"/>
    </row>
    <row r="117" spans="1:15" s="165" customFormat="1" ht="15.75">
      <c r="A117" s="186">
        <v>13</v>
      </c>
      <c r="B117" s="534" t="s">
        <v>129</v>
      </c>
      <c r="C117" s="82">
        <v>22100</v>
      </c>
      <c r="D117" s="82">
        <v>24800</v>
      </c>
      <c r="E117" s="80">
        <f t="shared" si="2"/>
        <v>2700</v>
      </c>
      <c r="F117" s="559"/>
      <c r="G117" s="83"/>
      <c r="H117" s="187"/>
      <c r="I117" s="83"/>
      <c r="J117" s="83"/>
      <c r="K117" s="83"/>
      <c r="L117" s="83"/>
      <c r="M117" s="83"/>
      <c r="N117" s="83"/>
      <c r="O117" s="182"/>
    </row>
    <row r="118" spans="1:15" s="165" customFormat="1" ht="31.5">
      <c r="A118" s="186">
        <v>14</v>
      </c>
      <c r="B118" s="534" t="s">
        <v>455</v>
      </c>
      <c r="C118" s="82">
        <v>2000</v>
      </c>
      <c r="D118" s="82">
        <v>2000</v>
      </c>
      <c r="E118" s="80">
        <f t="shared" si="2"/>
        <v>0</v>
      </c>
      <c r="F118" s="559"/>
      <c r="G118" s="83"/>
      <c r="H118" s="187"/>
      <c r="I118" s="83"/>
      <c r="J118" s="83"/>
      <c r="K118" s="83"/>
      <c r="L118" s="83"/>
      <c r="M118" s="83"/>
      <c r="N118" s="83"/>
      <c r="O118" s="182"/>
    </row>
    <row r="119" spans="1:15" s="165" customFormat="1" ht="15.75">
      <c r="A119" s="186">
        <v>15</v>
      </c>
      <c r="B119" s="534" t="s">
        <v>453</v>
      </c>
      <c r="C119" s="82">
        <v>2946</v>
      </c>
      <c r="D119" s="82">
        <v>3225</v>
      </c>
      <c r="E119" s="80">
        <f t="shared" si="2"/>
        <v>279</v>
      </c>
      <c r="F119" s="559"/>
      <c r="G119" s="83"/>
      <c r="H119" s="187"/>
      <c r="I119" s="83"/>
      <c r="J119" s="83"/>
      <c r="K119" s="83"/>
      <c r="L119" s="83"/>
      <c r="M119" s="83"/>
      <c r="N119" s="83"/>
      <c r="O119" s="182"/>
    </row>
    <row r="120" spans="1:15" s="165" customFormat="1" ht="47.25">
      <c r="A120" s="186">
        <v>16</v>
      </c>
      <c r="B120" s="534" t="s">
        <v>595</v>
      </c>
      <c r="C120" s="82"/>
      <c r="D120" s="82">
        <v>1294</v>
      </c>
      <c r="E120" s="80">
        <f t="shared" si="2"/>
        <v>1294</v>
      </c>
      <c r="F120" s="559"/>
      <c r="G120" s="83"/>
      <c r="H120" s="187"/>
      <c r="I120" s="83"/>
      <c r="J120" s="83"/>
      <c r="K120" s="83"/>
      <c r="L120" s="83"/>
      <c r="M120" s="83"/>
      <c r="N120" s="83"/>
      <c r="O120" s="182"/>
    </row>
    <row r="121" spans="1:15" s="165" customFormat="1" ht="15.75">
      <c r="A121" s="186">
        <v>17</v>
      </c>
      <c r="B121" s="534" t="s">
        <v>468</v>
      </c>
      <c r="C121" s="82"/>
      <c r="D121" s="82">
        <v>400</v>
      </c>
      <c r="E121" s="80">
        <f t="shared" si="2"/>
        <v>400</v>
      </c>
      <c r="F121" s="559"/>
      <c r="G121" s="83"/>
      <c r="H121" s="187"/>
      <c r="I121" s="83"/>
      <c r="J121" s="83"/>
      <c r="K121" s="83"/>
      <c r="L121" s="83"/>
      <c r="M121" s="83"/>
      <c r="N121" s="83"/>
      <c r="O121" s="182"/>
    </row>
    <row r="122" spans="1:15" s="165" customFormat="1" ht="15.75">
      <c r="A122" s="186">
        <v>18</v>
      </c>
      <c r="B122" s="534" t="s">
        <v>619</v>
      </c>
      <c r="C122" s="82"/>
      <c r="D122" s="82">
        <v>315</v>
      </c>
      <c r="E122" s="80">
        <f t="shared" si="2"/>
        <v>315</v>
      </c>
      <c r="F122" s="559"/>
      <c r="G122" s="83"/>
      <c r="H122" s="187"/>
      <c r="I122" s="83"/>
      <c r="J122" s="83"/>
      <c r="K122" s="83"/>
      <c r="L122" s="83"/>
      <c r="M122" s="83"/>
      <c r="N122" s="83"/>
      <c r="O122" s="182"/>
    </row>
    <row r="123" spans="1:15" s="165" customFormat="1" ht="15.75">
      <c r="A123" s="186">
        <v>19</v>
      </c>
      <c r="B123" s="534" t="s">
        <v>476</v>
      </c>
      <c r="C123" s="82"/>
      <c r="D123" s="82">
        <v>47200</v>
      </c>
      <c r="E123" s="80">
        <f t="shared" si="2"/>
        <v>47200</v>
      </c>
      <c r="F123" s="559"/>
      <c r="G123" s="83"/>
      <c r="H123" s="187"/>
      <c r="I123" s="83"/>
      <c r="J123" s="83"/>
      <c r="K123" s="83"/>
      <c r="L123" s="83"/>
      <c r="M123" s="83"/>
      <c r="N123" s="83"/>
      <c r="O123" s="182"/>
    </row>
    <row r="124" spans="1:15" s="188" customFormat="1" ht="15.75">
      <c r="A124" s="186">
        <v>20</v>
      </c>
      <c r="B124" s="534" t="s">
        <v>467</v>
      </c>
      <c r="C124" s="82"/>
      <c r="D124" s="82">
        <v>1000</v>
      </c>
      <c r="E124" s="83">
        <f t="shared" si="2"/>
        <v>1000</v>
      </c>
      <c r="F124" s="83"/>
      <c r="G124" s="83"/>
      <c r="H124" s="189"/>
      <c r="I124" s="189"/>
      <c r="J124" s="189"/>
      <c r="K124" s="189"/>
      <c r="L124" s="189"/>
      <c r="M124" s="189"/>
      <c r="N124" s="189"/>
      <c r="O124" s="182"/>
    </row>
    <row r="125" spans="1:15" s="192" customFormat="1" ht="15.75">
      <c r="A125" s="190" t="s">
        <v>131</v>
      </c>
      <c r="B125" s="532" t="s">
        <v>132</v>
      </c>
      <c r="C125" s="74"/>
      <c r="D125" s="74"/>
      <c r="E125" s="89"/>
      <c r="F125" s="89"/>
      <c r="G125" s="89"/>
      <c r="H125" s="191"/>
      <c r="I125" s="191"/>
      <c r="J125" s="191"/>
      <c r="K125" s="191"/>
      <c r="L125" s="191"/>
      <c r="M125" s="191"/>
      <c r="N125" s="191"/>
      <c r="O125" s="182"/>
    </row>
    <row r="126" spans="1:15" ht="15.75">
      <c r="A126" s="92"/>
      <c r="B126" s="93"/>
      <c r="C126" s="374"/>
      <c r="D126" s="374"/>
      <c r="E126" s="93"/>
      <c r="F126" s="93"/>
      <c r="G126" s="93"/>
      <c r="H126" s="87"/>
      <c r="I126" s="87"/>
      <c r="J126" s="87"/>
      <c r="K126" s="87"/>
      <c r="L126" s="87"/>
      <c r="M126" s="87"/>
      <c r="N126" s="87"/>
      <c r="O126" s="182"/>
    </row>
    <row r="127" ht="15.75">
      <c r="O127" s="182"/>
    </row>
    <row r="128" ht="15.75">
      <c r="O128" s="182"/>
    </row>
    <row r="129" ht="15.75">
      <c r="O129" s="182"/>
    </row>
    <row r="130" ht="15.75">
      <c r="O130" s="182"/>
    </row>
    <row r="136" spans="3:6" ht="18.75">
      <c r="C136" s="66"/>
      <c r="D136" s="66"/>
      <c r="E136" s="12"/>
      <c r="F136" s="12"/>
    </row>
    <row r="137" spans="3:6" ht="18.75">
      <c r="C137" s="66"/>
      <c r="D137" s="66"/>
      <c r="E137" s="12"/>
      <c r="F137" s="12"/>
    </row>
    <row r="138" spans="3:6" ht="18.75">
      <c r="C138" s="66"/>
      <c r="D138" s="66"/>
      <c r="E138" s="12"/>
      <c r="F138" s="12"/>
    </row>
    <row r="139" spans="3:6" ht="18.75">
      <c r="C139" s="66"/>
      <c r="D139" s="66"/>
      <c r="E139" s="12"/>
      <c r="F139" s="12"/>
    </row>
    <row r="140" spans="3:6" ht="18.75">
      <c r="C140" s="66"/>
      <c r="D140" s="66"/>
      <c r="E140" s="12"/>
      <c r="F140" s="12"/>
    </row>
    <row r="141" spans="3:6" ht="18.75">
      <c r="C141" s="66"/>
      <c r="D141" s="66"/>
      <c r="E141" s="12"/>
      <c r="F141" s="12"/>
    </row>
    <row r="142" spans="3:6" ht="18.75">
      <c r="C142" s="66"/>
      <c r="D142" s="66"/>
      <c r="E142" s="12"/>
      <c r="F142" s="12"/>
    </row>
    <row r="143" spans="3:6" ht="18.75">
      <c r="C143" s="66"/>
      <c r="D143" s="66"/>
      <c r="E143" s="12"/>
      <c r="F143" s="12"/>
    </row>
    <row r="144" spans="3:6" ht="18.75">
      <c r="C144" s="66"/>
      <c r="D144" s="66"/>
      <c r="E144" s="12"/>
      <c r="F144" s="12"/>
    </row>
    <row r="145" spans="3:6" ht="18.75">
      <c r="C145" s="66"/>
      <c r="D145" s="66"/>
      <c r="E145" s="12"/>
      <c r="F145" s="12"/>
    </row>
    <row r="146" spans="3:6" ht="18.75">
      <c r="C146" s="66"/>
      <c r="D146" s="66"/>
      <c r="E146" s="12"/>
      <c r="F146" s="12"/>
    </row>
    <row r="147" spans="3:6" ht="18.75">
      <c r="C147" s="66"/>
      <c r="D147" s="66"/>
      <c r="E147" s="12"/>
      <c r="F147" s="12"/>
    </row>
    <row r="148" spans="3:6" ht="18.75">
      <c r="C148" s="66"/>
      <c r="D148" s="66"/>
      <c r="E148" s="12"/>
      <c r="F148" s="12"/>
    </row>
    <row r="149" spans="3:6" ht="18.75">
      <c r="C149" s="66"/>
      <c r="D149" s="66"/>
      <c r="E149" s="12"/>
      <c r="F149" s="12"/>
    </row>
    <row r="150" spans="3:6" ht="18.75">
      <c r="C150" s="66"/>
      <c r="D150" s="66"/>
      <c r="E150" s="12"/>
      <c r="F150" s="12"/>
    </row>
    <row r="151" spans="3:6" ht="18.75">
      <c r="C151" s="66"/>
      <c r="D151" s="66"/>
      <c r="E151" s="12"/>
      <c r="F151" s="12"/>
    </row>
  </sheetData>
  <sheetProtection/>
  <mergeCells count="21">
    <mergeCell ref="N8:N9"/>
    <mergeCell ref="D7:D9"/>
    <mergeCell ref="K8:K9"/>
    <mergeCell ref="B7:B9"/>
    <mergeCell ref="L8:L9"/>
    <mergeCell ref="E7:F7"/>
    <mergeCell ref="P15:S15"/>
    <mergeCell ref="H7:H9"/>
    <mergeCell ref="I7:I9"/>
    <mergeCell ref="J7:N7"/>
    <mergeCell ref="E8:E9"/>
    <mergeCell ref="G7:G9"/>
    <mergeCell ref="F8:F9"/>
    <mergeCell ref="C7:C9"/>
    <mergeCell ref="M8:M9"/>
    <mergeCell ref="J8:J9"/>
    <mergeCell ref="C1:F1"/>
    <mergeCell ref="A3:G3"/>
    <mergeCell ref="A4:F4"/>
    <mergeCell ref="D6:F6"/>
    <mergeCell ref="A7:A9"/>
  </mergeCells>
  <printOptions horizontalCentered="1"/>
  <pageMargins left="0" right="0" top="0" bottom="0" header="0.5118110236220472" footer="0.5118110236220472"/>
  <pageSetup horizontalDpi="600" verticalDpi="600" orientation="portrait" paperSize="9" scale="90" r:id="rId1"/>
  <rowBreaks count="1" manualBreakCount="1">
    <brk id="126" max="13" man="1"/>
  </rowBreaks>
</worksheet>
</file>

<file path=xl/worksheets/sheet4.xml><?xml version="1.0" encoding="utf-8"?>
<worksheet xmlns="http://schemas.openxmlformats.org/spreadsheetml/2006/main" xmlns:r="http://schemas.openxmlformats.org/officeDocument/2006/relationships">
  <dimension ref="A1:H71"/>
  <sheetViews>
    <sheetView view="pageBreakPreview" zoomScale="85" zoomScaleSheetLayoutView="85" workbookViewId="0" topLeftCell="A35">
      <selection activeCell="B47" sqref="B47"/>
    </sheetView>
  </sheetViews>
  <sheetFormatPr defaultColWidth="8.796875" defaultRowHeight="15"/>
  <cols>
    <col min="1" max="1" width="5.09765625" style="5" customWidth="1"/>
    <col min="2" max="2" width="83.8984375" style="5" customWidth="1"/>
    <col min="3" max="3" width="13.3984375" style="5" customWidth="1"/>
    <col min="4" max="4" width="12.3984375" style="84" customWidth="1"/>
    <col min="5" max="5" width="11.8984375" style="5" customWidth="1"/>
    <col min="6" max="6" width="9" style="5" customWidth="1"/>
    <col min="7" max="7" width="10.19921875" style="5" bestFit="1" customWidth="1"/>
    <col min="8" max="8" width="9.5" style="5" bestFit="1" customWidth="1"/>
    <col min="9" max="16384" width="9" style="5" customWidth="1"/>
  </cols>
  <sheetData>
    <row r="1" spans="1:5" ht="21" customHeight="1">
      <c r="A1" s="2"/>
      <c r="B1" s="2"/>
      <c r="C1" s="573" t="s">
        <v>166</v>
      </c>
      <c r="D1" s="573"/>
      <c r="E1" s="573"/>
    </row>
    <row r="2" spans="1:5" ht="12.75" customHeight="1" hidden="1">
      <c r="A2" s="53"/>
      <c r="B2" s="53"/>
      <c r="C2" s="4"/>
      <c r="D2" s="65"/>
      <c r="E2" s="4"/>
    </row>
    <row r="3" spans="1:5" ht="21" customHeight="1">
      <c r="A3" s="573" t="s">
        <v>477</v>
      </c>
      <c r="B3" s="573"/>
      <c r="C3" s="573"/>
      <c r="D3" s="573"/>
      <c r="E3" s="573"/>
    </row>
    <row r="4" spans="1:5" ht="21" customHeight="1">
      <c r="A4" s="568" t="str">
        <f>'Biểu 15-NQ'!A4:G4</f>
        <v>(Kèm theo Nghị quyết số   96 /NQ-HĐND ngày  07  tháng 12 năm 2018 của HĐND tỉnh Điện Biên)</v>
      </c>
      <c r="B4" s="568"/>
      <c r="C4" s="568"/>
      <c r="D4" s="568"/>
      <c r="E4" s="568"/>
    </row>
    <row r="5" spans="1:5" ht="9.75" customHeight="1" hidden="1">
      <c r="A5" s="8"/>
      <c r="B5" s="8"/>
      <c r="C5" s="4"/>
      <c r="D5" s="65"/>
      <c r="E5" s="4"/>
    </row>
    <row r="6" spans="1:5" ht="9.75" customHeight="1">
      <c r="A6" s="8"/>
      <c r="B6" s="8"/>
      <c r="C6" s="4"/>
      <c r="D6" s="65"/>
      <c r="E6" s="4"/>
    </row>
    <row r="7" spans="1:5" ht="19.5" customHeight="1">
      <c r="A7" s="10"/>
      <c r="B7" s="10"/>
      <c r="C7" s="12"/>
      <c r="D7" s="574" t="s">
        <v>17</v>
      </c>
      <c r="E7" s="574"/>
    </row>
    <row r="8" spans="1:5" s="16" customFormat="1" ht="23.25" customHeight="1">
      <c r="A8" s="566" t="s">
        <v>70</v>
      </c>
      <c r="B8" s="595" t="s">
        <v>18</v>
      </c>
      <c r="C8" s="566" t="s">
        <v>450</v>
      </c>
      <c r="D8" s="567" t="s">
        <v>470</v>
      </c>
      <c r="E8" s="595" t="s">
        <v>167</v>
      </c>
    </row>
    <row r="9" spans="1:5" s="16" customFormat="1" ht="23.25" customHeight="1">
      <c r="A9" s="566"/>
      <c r="B9" s="595"/>
      <c r="C9" s="566"/>
      <c r="D9" s="567"/>
      <c r="E9" s="595"/>
    </row>
    <row r="10" spans="1:5" s="16" customFormat="1" ht="16.5" customHeight="1">
      <c r="A10" s="566"/>
      <c r="B10" s="595"/>
      <c r="C10" s="566"/>
      <c r="D10" s="567"/>
      <c r="E10" s="595"/>
    </row>
    <row r="11" spans="1:5" s="19" customFormat="1" ht="17.25" customHeight="1">
      <c r="A11" s="17" t="s">
        <v>3</v>
      </c>
      <c r="B11" s="56" t="s">
        <v>12</v>
      </c>
      <c r="C11" s="56">
        <v>1</v>
      </c>
      <c r="D11" s="375">
        <f>C11+1</f>
        <v>2</v>
      </c>
      <c r="E11" s="129" t="s">
        <v>79</v>
      </c>
    </row>
    <row r="12" spans="1:8" s="12" customFormat="1" ht="25.5" customHeight="1">
      <c r="A12" s="20" t="s">
        <v>3</v>
      </c>
      <c r="B12" s="21" t="s">
        <v>168</v>
      </c>
      <c r="C12" s="213">
        <v>9591919</v>
      </c>
      <c r="D12" s="22">
        <v>9175884</v>
      </c>
      <c r="E12" s="213">
        <f>D12-C12</f>
        <v>-416035</v>
      </c>
      <c r="F12" s="163">
        <f>C12-C13</f>
        <v>232492</v>
      </c>
      <c r="G12" s="163">
        <f>C13+C14</f>
        <v>9439682</v>
      </c>
      <c r="H12" s="365">
        <f>C12-G12</f>
        <v>152237</v>
      </c>
    </row>
    <row r="13" spans="1:7" s="12" customFormat="1" ht="25.5" customHeight="1">
      <c r="A13" s="25" t="s">
        <v>12</v>
      </c>
      <c r="B13" s="26" t="s">
        <v>169</v>
      </c>
      <c r="C13" s="36">
        <v>9359427</v>
      </c>
      <c r="D13" s="27">
        <v>9116240</v>
      </c>
      <c r="E13" s="213">
        <f>D13-C13</f>
        <v>-243187</v>
      </c>
      <c r="F13" s="12">
        <v>8583480</v>
      </c>
      <c r="G13" s="163">
        <f>C13-F13</f>
        <v>775947</v>
      </c>
    </row>
    <row r="14" spans="1:6" s="12" customFormat="1" ht="25.5" customHeight="1">
      <c r="A14" s="25" t="s">
        <v>170</v>
      </c>
      <c r="B14" s="26" t="s">
        <v>429</v>
      </c>
      <c r="C14" s="36">
        <v>80255</v>
      </c>
      <c r="D14" s="27">
        <v>59644</v>
      </c>
      <c r="E14" s="213">
        <f>D14-C14</f>
        <v>-20611</v>
      </c>
      <c r="F14" s="163">
        <f>D12-D13</f>
        <v>59644</v>
      </c>
    </row>
    <row r="15" spans="1:8" s="12" customFormat="1" ht="25.5" customHeight="1">
      <c r="A15" s="25" t="s">
        <v>171</v>
      </c>
      <c r="B15" s="26" t="s">
        <v>172</v>
      </c>
      <c r="C15" s="36">
        <v>186880</v>
      </c>
      <c r="D15" s="27">
        <f>1009537*20%</f>
        <v>201907.40000000002</v>
      </c>
      <c r="E15" s="36">
        <f>D15-C15</f>
        <v>15027.400000000023</v>
      </c>
      <c r="G15" s="130">
        <v>942615</v>
      </c>
      <c r="H15" s="130">
        <v>934400</v>
      </c>
    </row>
    <row r="16" spans="1:8" s="12" customFormat="1" ht="25.5" customHeight="1">
      <c r="A16" s="25" t="s">
        <v>131</v>
      </c>
      <c r="B16" s="26" t="s">
        <v>173</v>
      </c>
      <c r="C16" s="30"/>
      <c r="D16" s="31"/>
      <c r="E16" s="30"/>
      <c r="G16" s="12">
        <f>G15*0.2</f>
        <v>188523</v>
      </c>
      <c r="H16" s="12">
        <f>H15*0.2</f>
        <v>186880</v>
      </c>
    </row>
    <row r="17" spans="1:5" s="12" customFormat="1" ht="25.5" customHeight="1">
      <c r="A17" s="25" t="s">
        <v>4</v>
      </c>
      <c r="B17" s="26" t="s">
        <v>174</v>
      </c>
      <c r="C17" s="36">
        <f>C20+C24</f>
        <v>271740</v>
      </c>
      <c r="D17" s="36">
        <f>D20+D24</f>
        <v>191485</v>
      </c>
      <c r="E17" s="36">
        <f>D17-C17</f>
        <v>-80255</v>
      </c>
    </row>
    <row r="18" spans="1:5" s="12" customFormat="1" ht="25.5" customHeight="1">
      <c r="A18" s="25"/>
      <c r="B18" s="37" t="s">
        <v>175</v>
      </c>
      <c r="C18" s="170">
        <f>C17/C15</f>
        <v>1.4540881849315068</v>
      </c>
      <c r="D18" s="376">
        <f>D17/D15</f>
        <v>0.9483802971064953</v>
      </c>
      <c r="E18" s="171"/>
    </row>
    <row r="19" spans="1:5" s="12" customFormat="1" ht="25.5" customHeight="1" hidden="1">
      <c r="A19" s="28">
        <v>1</v>
      </c>
      <c r="B19" s="29" t="s">
        <v>176</v>
      </c>
      <c r="C19" s="30"/>
      <c r="D19" s="31"/>
      <c r="E19" s="30"/>
    </row>
    <row r="20" spans="1:5" s="12" customFormat="1" ht="25.5" customHeight="1">
      <c r="A20" s="28">
        <v>1</v>
      </c>
      <c r="B20" s="29" t="s">
        <v>177</v>
      </c>
      <c r="C20" s="30">
        <f>C21+C22+C23</f>
        <v>58773</v>
      </c>
      <c r="D20" s="30">
        <f>D21+D22+D23</f>
        <v>67009</v>
      </c>
      <c r="E20" s="30">
        <f aca="true" t="shared" si="0" ref="E20:E25">D20-C20</f>
        <v>8236</v>
      </c>
    </row>
    <row r="21" spans="1:5" s="12" customFormat="1" ht="25.5" customHeight="1">
      <c r="A21" s="34"/>
      <c r="B21" s="37" t="s">
        <v>298</v>
      </c>
      <c r="C21" s="38">
        <v>12601</v>
      </c>
      <c r="D21" s="39">
        <f>C50</f>
        <v>21806</v>
      </c>
      <c r="E21" s="38">
        <f t="shared" si="0"/>
        <v>9205</v>
      </c>
    </row>
    <row r="22" spans="1:6" s="12" customFormat="1" ht="25.5" customHeight="1">
      <c r="A22" s="34"/>
      <c r="B22" s="37" t="s">
        <v>299</v>
      </c>
      <c r="C22" s="38">
        <v>44812</v>
      </c>
      <c r="D22" s="39">
        <f>C51</f>
        <v>41052</v>
      </c>
      <c r="E22" s="38">
        <f t="shared" si="0"/>
        <v>-3760</v>
      </c>
      <c r="F22" s="131"/>
    </row>
    <row r="23" spans="1:6" s="24" customFormat="1" ht="25.5" customHeight="1">
      <c r="A23" s="34"/>
      <c r="B23" s="37" t="s">
        <v>300</v>
      </c>
      <c r="C23" s="38">
        <v>1360</v>
      </c>
      <c r="D23" s="39">
        <f>C52</f>
        <v>4151</v>
      </c>
      <c r="E23" s="38">
        <f t="shared" si="0"/>
        <v>2791</v>
      </c>
      <c r="F23" s="132"/>
    </row>
    <row r="24" spans="1:6" s="12" customFormat="1" ht="25.5" customHeight="1">
      <c r="A24" s="28">
        <v>2</v>
      </c>
      <c r="B24" s="29" t="s">
        <v>178</v>
      </c>
      <c r="C24" s="38">
        <f>C25</f>
        <v>212967</v>
      </c>
      <c r="D24" s="39">
        <f>C53</f>
        <v>124476</v>
      </c>
      <c r="E24" s="30">
        <f t="shared" si="0"/>
        <v>-88491</v>
      </c>
      <c r="F24" s="132"/>
    </row>
    <row r="25" spans="1:5" s="12" customFormat="1" ht="41.25" customHeight="1">
      <c r="A25" s="34"/>
      <c r="B25" s="37" t="s">
        <v>297</v>
      </c>
      <c r="C25" s="38">
        <v>212967</v>
      </c>
      <c r="D25" s="39">
        <f>C53</f>
        <v>124476</v>
      </c>
      <c r="E25" s="38">
        <f t="shared" si="0"/>
        <v>-88491</v>
      </c>
    </row>
    <row r="26" spans="1:5" s="24" customFormat="1" ht="25.5" customHeight="1">
      <c r="A26" s="25" t="s">
        <v>10</v>
      </c>
      <c r="B26" s="26" t="s">
        <v>179</v>
      </c>
      <c r="C26" s="30"/>
      <c r="D26" s="31"/>
      <c r="E26" s="30"/>
    </row>
    <row r="27" spans="1:5" s="12" customFormat="1" ht="25.5" customHeight="1">
      <c r="A27" s="25">
        <v>1</v>
      </c>
      <c r="B27" s="26" t="s">
        <v>180</v>
      </c>
      <c r="C27" s="36">
        <f>SUM(C29,C32)</f>
        <v>92251</v>
      </c>
      <c r="D27" s="27">
        <f>SUM(D29,D32)</f>
        <v>72944</v>
      </c>
      <c r="E27" s="36">
        <f>D27-C27</f>
        <v>-19307</v>
      </c>
    </row>
    <row r="28" spans="1:5" s="12" customFormat="1" ht="25.5" customHeight="1" hidden="1">
      <c r="A28" s="40" t="s">
        <v>11</v>
      </c>
      <c r="B28" s="29" t="s">
        <v>176</v>
      </c>
      <c r="C28" s="30"/>
      <c r="D28" s="31"/>
      <c r="E28" s="30"/>
    </row>
    <row r="29" spans="1:5" s="12" customFormat="1" ht="25.5" customHeight="1">
      <c r="A29" s="40" t="s">
        <v>11</v>
      </c>
      <c r="B29" s="29" t="s">
        <v>177</v>
      </c>
      <c r="C29" s="30">
        <v>3760</v>
      </c>
      <c r="D29" s="31">
        <f>D30+D31</f>
        <v>4453</v>
      </c>
      <c r="E29" s="30">
        <f aca="true" t="shared" si="1" ref="E29:E36">D29-C29</f>
        <v>693</v>
      </c>
    </row>
    <row r="30" spans="1:5" s="12" customFormat="1" ht="25.5" customHeight="1">
      <c r="A30" s="40"/>
      <c r="B30" s="37" t="s">
        <v>299</v>
      </c>
      <c r="C30" s="38">
        <v>3760</v>
      </c>
      <c r="D30" s="39">
        <v>3760</v>
      </c>
      <c r="E30" s="38">
        <f t="shared" si="1"/>
        <v>0</v>
      </c>
    </row>
    <row r="31" spans="1:5" s="12" customFormat="1" ht="25.5" customHeight="1">
      <c r="A31" s="40"/>
      <c r="B31" s="37" t="s">
        <v>298</v>
      </c>
      <c r="C31" s="38"/>
      <c r="D31" s="39">
        <v>693</v>
      </c>
      <c r="E31" s="38"/>
    </row>
    <row r="32" spans="1:5" s="12" customFormat="1" ht="25.5" customHeight="1">
      <c r="A32" s="40" t="s">
        <v>11</v>
      </c>
      <c r="B32" s="29" t="s">
        <v>181</v>
      </c>
      <c r="C32" s="30">
        <f>C33</f>
        <v>88491</v>
      </c>
      <c r="D32" s="31">
        <f>D33</f>
        <v>68491</v>
      </c>
      <c r="E32" s="30">
        <f t="shared" si="1"/>
        <v>-20000</v>
      </c>
    </row>
    <row r="33" spans="1:5" s="12" customFormat="1" ht="46.5" customHeight="1">
      <c r="A33" s="34"/>
      <c r="B33" s="37" t="s">
        <v>297</v>
      </c>
      <c r="C33" s="38">
        <v>88491</v>
      </c>
      <c r="D33" s="39">
        <v>68491</v>
      </c>
      <c r="E33" s="38">
        <f t="shared" si="1"/>
        <v>-20000</v>
      </c>
    </row>
    <row r="34" spans="1:5" s="12" customFormat="1" ht="25.5" customHeight="1">
      <c r="A34" s="25">
        <v>2</v>
      </c>
      <c r="B34" s="26" t="s">
        <v>182</v>
      </c>
      <c r="C34" s="36">
        <f>C27</f>
        <v>92251</v>
      </c>
      <c r="D34" s="27">
        <f>D27</f>
        <v>72944</v>
      </c>
      <c r="E34" s="36">
        <f t="shared" si="1"/>
        <v>-19307</v>
      </c>
    </row>
    <row r="35" spans="1:5" s="24" customFormat="1" ht="25.5" customHeight="1">
      <c r="A35" s="40" t="s">
        <v>11</v>
      </c>
      <c r="B35" s="29" t="s">
        <v>183</v>
      </c>
      <c r="C35" s="30">
        <v>11996</v>
      </c>
      <c r="D35" s="31">
        <v>13300</v>
      </c>
      <c r="E35" s="30">
        <f t="shared" si="1"/>
        <v>1304</v>
      </c>
    </row>
    <row r="36" spans="1:5" s="12" customFormat="1" ht="25.5" customHeight="1">
      <c r="A36" s="40" t="s">
        <v>11</v>
      </c>
      <c r="B36" s="29" t="s">
        <v>184</v>
      </c>
      <c r="C36" s="30">
        <f>C34-C35</f>
        <v>80255</v>
      </c>
      <c r="D36" s="31">
        <f>D34-D35</f>
        <v>59644</v>
      </c>
      <c r="E36" s="30">
        <f t="shared" si="1"/>
        <v>-20611</v>
      </c>
    </row>
    <row r="37" spans="1:5" s="12" customFormat="1" ht="25.5" customHeight="1" hidden="1">
      <c r="A37" s="40" t="s">
        <v>11</v>
      </c>
      <c r="B37" s="29" t="s">
        <v>185</v>
      </c>
      <c r="C37" s="30"/>
      <c r="D37" s="31"/>
      <c r="E37" s="30"/>
    </row>
    <row r="38" spans="1:5" s="12" customFormat="1" ht="25.5" customHeight="1">
      <c r="A38" s="25" t="s">
        <v>14</v>
      </c>
      <c r="B38" s="26" t="s">
        <v>186</v>
      </c>
      <c r="C38" s="30"/>
      <c r="D38" s="31"/>
      <c r="E38" s="30"/>
    </row>
    <row r="39" spans="1:5" s="12" customFormat="1" ht="25.5" customHeight="1">
      <c r="A39" s="25">
        <v>1</v>
      </c>
      <c r="B39" s="26" t="s">
        <v>187</v>
      </c>
      <c r="C39" s="36">
        <f>SUM(C40:C41)</f>
        <v>11996</v>
      </c>
      <c r="D39" s="27">
        <f>SUM(D40:D41)</f>
        <v>13300</v>
      </c>
      <c r="E39" s="36">
        <f>D39-C39</f>
        <v>1304</v>
      </c>
    </row>
    <row r="40" spans="1:5" s="12" customFormat="1" ht="25.5" customHeight="1" hidden="1">
      <c r="A40" s="40" t="s">
        <v>11</v>
      </c>
      <c r="B40" s="29" t="s">
        <v>188</v>
      </c>
      <c r="C40" s="30"/>
      <c r="D40" s="31"/>
      <c r="E40" s="30"/>
    </row>
    <row r="41" spans="1:5" s="12" customFormat="1" ht="25.5" customHeight="1">
      <c r="A41" s="40" t="s">
        <v>11</v>
      </c>
      <c r="B41" s="29" t="s">
        <v>189</v>
      </c>
      <c r="C41" s="30">
        <v>11996</v>
      </c>
      <c r="D41" s="31">
        <v>13300</v>
      </c>
      <c r="E41" s="30">
        <f>D41-C41</f>
        <v>1304</v>
      </c>
    </row>
    <row r="42" spans="1:5" s="12" customFormat="1" ht="25.5" customHeight="1">
      <c r="A42" s="25">
        <v>2</v>
      </c>
      <c r="B42" s="26" t="s">
        <v>190</v>
      </c>
      <c r="C42" s="36">
        <f>C43</f>
        <v>11996</v>
      </c>
      <c r="D42" s="27">
        <f>SUM(D43:D44)</f>
        <v>20950</v>
      </c>
      <c r="E42" s="36">
        <f>D42-C42</f>
        <v>8954</v>
      </c>
    </row>
    <row r="43" spans="1:5" s="12" customFormat="1" ht="25.5" customHeight="1">
      <c r="A43" s="40" t="s">
        <v>11</v>
      </c>
      <c r="B43" s="29" t="s">
        <v>177</v>
      </c>
      <c r="C43" s="30">
        <f>C44+C45</f>
        <v>11996</v>
      </c>
      <c r="D43" s="31">
        <v>13300</v>
      </c>
      <c r="E43" s="30">
        <f>D43-C43</f>
        <v>1304</v>
      </c>
    </row>
    <row r="44" spans="1:5" ht="28.5" customHeight="1">
      <c r="A44" s="40" t="s">
        <v>355</v>
      </c>
      <c r="B44" s="29" t="s">
        <v>478</v>
      </c>
      <c r="C44" s="30">
        <v>9205</v>
      </c>
      <c r="D44" s="31">
        <v>7650</v>
      </c>
      <c r="E44" s="30"/>
    </row>
    <row r="45" spans="1:5" ht="28.5" customHeight="1">
      <c r="A45" s="40" t="s">
        <v>355</v>
      </c>
      <c r="B45" s="29" t="s">
        <v>479</v>
      </c>
      <c r="C45" s="30">
        <v>2791</v>
      </c>
      <c r="D45" s="31">
        <v>5650</v>
      </c>
      <c r="E45" s="30"/>
    </row>
    <row r="46" spans="1:5" ht="25.5" customHeight="1">
      <c r="A46" s="25" t="s">
        <v>15</v>
      </c>
      <c r="B46" s="26" t="s">
        <v>191</v>
      </c>
      <c r="C46" s="36">
        <f>SUM(C49,C53)</f>
        <v>191485</v>
      </c>
      <c r="D46" s="36">
        <f>SUM(D49,D53)</f>
        <v>131841</v>
      </c>
      <c r="E46" s="36">
        <f>D46-C46</f>
        <v>-59644</v>
      </c>
    </row>
    <row r="47" spans="1:5" ht="27" customHeight="1">
      <c r="A47" s="25"/>
      <c r="B47" s="37" t="s">
        <v>192</v>
      </c>
      <c r="C47" s="170">
        <f>C46/C15</f>
        <v>1.0246414811643836</v>
      </c>
      <c r="D47" s="376">
        <f>D46/D15</f>
        <v>0.6529775530763111</v>
      </c>
      <c r="E47" s="171"/>
    </row>
    <row r="48" spans="1:5" ht="19.5" customHeight="1" hidden="1">
      <c r="A48" s="28">
        <v>1</v>
      </c>
      <c r="B48" s="29" t="s">
        <v>176</v>
      </c>
      <c r="C48" s="30"/>
      <c r="D48" s="31"/>
      <c r="E48" s="30"/>
    </row>
    <row r="49" spans="1:5" ht="25.5" customHeight="1">
      <c r="A49" s="28">
        <v>1</v>
      </c>
      <c r="B49" s="29" t="s">
        <v>177</v>
      </c>
      <c r="C49" s="30">
        <f>C50+C51+C52</f>
        <v>67009</v>
      </c>
      <c r="D49" s="31">
        <f>D50+D51+D52</f>
        <v>75856</v>
      </c>
      <c r="E49" s="30">
        <f aca="true" t="shared" si="2" ref="E49:E54">D49-C49</f>
        <v>8847</v>
      </c>
    </row>
    <row r="50" spans="1:5" ht="25.5" customHeight="1">
      <c r="A50" s="34"/>
      <c r="B50" s="37" t="s">
        <v>298</v>
      </c>
      <c r="C50" s="38">
        <f>C21+C44</f>
        <v>21806</v>
      </c>
      <c r="D50" s="38">
        <f>D21+D44-D31</f>
        <v>28763</v>
      </c>
      <c r="E50" s="38">
        <f t="shared" si="2"/>
        <v>6957</v>
      </c>
    </row>
    <row r="51" spans="1:5" ht="25.5" customHeight="1">
      <c r="A51" s="34"/>
      <c r="B51" s="37" t="s">
        <v>299</v>
      </c>
      <c r="C51" s="38">
        <f>+C22-C30</f>
        <v>41052</v>
      </c>
      <c r="D51" s="38">
        <f>+D22-D30</f>
        <v>37292</v>
      </c>
      <c r="E51" s="38">
        <f t="shared" si="2"/>
        <v>-3760</v>
      </c>
    </row>
    <row r="52" spans="1:5" ht="25.5" customHeight="1">
      <c r="A52" s="34"/>
      <c r="B52" s="37" t="s">
        <v>300</v>
      </c>
      <c r="C52" s="38">
        <f>+C23+C45</f>
        <v>4151</v>
      </c>
      <c r="D52" s="38">
        <f>+D23+D45</f>
        <v>9801</v>
      </c>
      <c r="E52" s="38">
        <f t="shared" si="2"/>
        <v>5650</v>
      </c>
    </row>
    <row r="53" spans="1:5" ht="25.5" customHeight="1">
      <c r="A53" s="28">
        <v>2</v>
      </c>
      <c r="B53" s="29" t="s">
        <v>181</v>
      </c>
      <c r="C53" s="30">
        <f>+C25-C33</f>
        <v>124476</v>
      </c>
      <c r="D53" s="30">
        <f>+D25-D33</f>
        <v>55985</v>
      </c>
      <c r="E53" s="30">
        <f t="shared" si="2"/>
        <v>-68491</v>
      </c>
    </row>
    <row r="54" spans="1:5" ht="25.5" customHeight="1">
      <c r="A54" s="25" t="s">
        <v>193</v>
      </c>
      <c r="B54" s="26" t="s">
        <v>194</v>
      </c>
      <c r="C54" s="36">
        <v>792</v>
      </c>
      <c r="D54" s="27">
        <v>1261</v>
      </c>
      <c r="E54" s="36">
        <f t="shared" si="2"/>
        <v>469</v>
      </c>
    </row>
    <row r="55" spans="1:5" ht="12.75" customHeight="1">
      <c r="A55" s="158"/>
      <c r="B55" s="46"/>
      <c r="C55" s="46"/>
      <c r="D55" s="275"/>
      <c r="E55" s="46"/>
    </row>
    <row r="56" spans="1:5" ht="18.75">
      <c r="A56" s="12"/>
      <c r="B56" s="12"/>
      <c r="C56" s="12"/>
      <c r="D56" s="66"/>
      <c r="E56" s="12"/>
    </row>
    <row r="57" spans="1:5" ht="18.75">
      <c r="A57" s="12"/>
      <c r="B57" s="12"/>
      <c r="C57" s="12"/>
      <c r="D57" s="66"/>
      <c r="E57" s="12"/>
    </row>
    <row r="58" spans="1:5" ht="18.75">
      <c r="A58" s="12"/>
      <c r="B58" s="12"/>
      <c r="C58" s="12"/>
      <c r="D58" s="66"/>
      <c r="E58" s="12"/>
    </row>
    <row r="59" spans="1:5" ht="18.75">
      <c r="A59" s="12"/>
      <c r="B59" s="12"/>
      <c r="C59" s="12"/>
      <c r="D59" s="66"/>
      <c r="E59" s="12"/>
    </row>
    <row r="60" spans="1:5" ht="18.75">
      <c r="A60" s="12"/>
      <c r="B60" s="12"/>
      <c r="C60" s="12"/>
      <c r="D60" s="66"/>
      <c r="E60" s="12"/>
    </row>
    <row r="61" spans="1:5" ht="18.75">
      <c r="A61" s="12"/>
      <c r="B61" s="12"/>
      <c r="C61" s="12"/>
      <c r="D61" s="66"/>
      <c r="E61" s="12"/>
    </row>
    <row r="62" spans="1:5" ht="18.75">
      <c r="A62" s="12"/>
      <c r="B62" s="12"/>
      <c r="C62" s="12"/>
      <c r="D62" s="66"/>
      <c r="E62" s="12"/>
    </row>
    <row r="63" spans="1:5" ht="18.75">
      <c r="A63" s="12"/>
      <c r="B63" s="12"/>
      <c r="C63" s="12"/>
      <c r="D63" s="66"/>
      <c r="E63" s="12"/>
    </row>
    <row r="64" spans="1:5" ht="18.75">
      <c r="A64" s="12"/>
      <c r="B64" s="12"/>
      <c r="C64" s="12"/>
      <c r="D64" s="66"/>
      <c r="E64" s="12"/>
    </row>
    <row r="65" spans="1:5" ht="18.75">
      <c r="A65" s="12"/>
      <c r="B65" s="12"/>
      <c r="C65" s="12"/>
      <c r="D65" s="66"/>
      <c r="E65" s="12"/>
    </row>
    <row r="66" spans="1:5" ht="22.5" customHeight="1">
      <c r="A66" s="12"/>
      <c r="B66" s="12"/>
      <c r="C66" s="12"/>
      <c r="D66" s="66"/>
      <c r="E66" s="12"/>
    </row>
    <row r="67" spans="1:5" ht="18.75">
      <c r="A67" s="12"/>
      <c r="B67" s="12"/>
      <c r="C67" s="12"/>
      <c r="D67" s="66"/>
      <c r="E67" s="12"/>
    </row>
    <row r="68" spans="1:5" ht="18.75">
      <c r="A68" s="12"/>
      <c r="B68" s="12"/>
      <c r="C68" s="12"/>
      <c r="D68" s="66"/>
      <c r="E68" s="12"/>
    </row>
    <row r="69" spans="1:5" ht="18.75">
      <c r="A69" s="12"/>
      <c r="B69" s="12"/>
      <c r="C69" s="12"/>
      <c r="D69" s="66"/>
      <c r="E69" s="12"/>
    </row>
    <row r="70" spans="1:5" ht="18.75">
      <c r="A70" s="12"/>
      <c r="B70" s="12"/>
      <c r="C70" s="12"/>
      <c r="D70" s="66"/>
      <c r="E70" s="12"/>
    </row>
    <row r="71" spans="1:2" ht="18.75">
      <c r="A71" s="133">
        <f>A70+1</f>
        <v>1</v>
      </c>
      <c r="B71" s="134" t="s">
        <v>195</v>
      </c>
    </row>
  </sheetData>
  <sheetProtection/>
  <mergeCells count="9">
    <mergeCell ref="C1:E1"/>
    <mergeCell ref="A3:E3"/>
    <mergeCell ref="A4:E4"/>
    <mergeCell ref="D7:E7"/>
    <mergeCell ref="A8:A10"/>
    <mergeCell ref="B8:B10"/>
    <mergeCell ref="C8:C10"/>
    <mergeCell ref="D8:D10"/>
    <mergeCell ref="E8:E10"/>
  </mergeCells>
  <printOptions horizontalCentered="1"/>
  <pageMargins left="0.31" right="0.31" top="0.34" bottom="0.24" header="0.18" footer="0.17"/>
  <pageSetup fitToHeight="5" horizontalDpi="600" verticalDpi="600" orientation="portrait" paperSize="9" scale="70" r:id="rId1"/>
  <headerFooter alignWithMargins="0">
    <oddFooter>&amp;C&amp;".VnTime,Italic"&amp;8
</oddFooter>
  </headerFooter>
</worksheet>
</file>

<file path=xl/worksheets/sheet5.xml><?xml version="1.0" encoding="utf-8"?>
<worksheet xmlns="http://schemas.openxmlformats.org/spreadsheetml/2006/main" xmlns:r="http://schemas.openxmlformats.org/officeDocument/2006/relationships">
  <dimension ref="A1:K58"/>
  <sheetViews>
    <sheetView view="pageBreakPreview" zoomScaleSheetLayoutView="100" zoomScalePageLayoutView="0" workbookViewId="0" topLeftCell="A28">
      <selection activeCell="B28" sqref="B28"/>
    </sheetView>
  </sheetViews>
  <sheetFormatPr defaultColWidth="8.796875" defaultRowHeight="15"/>
  <cols>
    <col min="1" max="1" width="5.09765625" style="247" customWidth="1"/>
    <col min="2" max="2" width="43.8984375" style="247" customWidth="1"/>
    <col min="3" max="3" width="11.19921875" style="247" customWidth="1"/>
    <col min="4" max="4" width="11.09765625" style="247" customWidth="1"/>
    <col min="5" max="5" width="11.69921875" style="383" customWidth="1"/>
    <col min="6" max="6" width="10.8984375" style="247" customWidth="1"/>
    <col min="7" max="7" width="7.69921875" style="247" customWidth="1"/>
    <col min="8" max="8" width="9.3984375" style="247" customWidth="1"/>
    <col min="9" max="9" width="12.19921875" style="247" bestFit="1" customWidth="1"/>
    <col min="10" max="10" width="11.3984375" style="247" bestFit="1" customWidth="1"/>
    <col min="11" max="11" width="13.09765625" style="247" customWidth="1"/>
    <col min="12" max="16384" width="9" style="247" customWidth="1"/>
  </cols>
  <sheetData>
    <row r="1" spans="1:8" ht="21" customHeight="1">
      <c r="A1" s="245"/>
      <c r="B1" s="245"/>
      <c r="C1" s="246"/>
      <c r="D1" s="598" t="s">
        <v>379</v>
      </c>
      <c r="E1" s="598"/>
      <c r="F1" s="598"/>
      <c r="G1" s="598"/>
      <c r="H1" s="598"/>
    </row>
    <row r="2" spans="1:7" ht="12.75" customHeight="1" hidden="1">
      <c r="A2" s="248"/>
      <c r="B2" s="248"/>
      <c r="C2" s="246"/>
      <c r="D2" s="246"/>
      <c r="E2" s="377"/>
      <c r="F2" s="246"/>
      <c r="G2" s="246"/>
    </row>
    <row r="3" spans="1:8" ht="21" customHeight="1">
      <c r="A3" s="599" t="s">
        <v>482</v>
      </c>
      <c r="B3" s="599"/>
      <c r="C3" s="599"/>
      <c r="D3" s="599"/>
      <c r="E3" s="599"/>
      <c r="F3" s="599"/>
      <c r="G3" s="599"/>
      <c r="H3" s="599"/>
    </row>
    <row r="4" spans="1:8" ht="9.75" customHeight="1">
      <c r="A4" s="599"/>
      <c r="B4" s="599"/>
      <c r="C4" s="599"/>
      <c r="D4" s="599"/>
      <c r="E4" s="599"/>
      <c r="F4" s="599"/>
      <c r="G4" s="599"/>
      <c r="H4" s="599"/>
    </row>
    <row r="5" spans="1:8" s="250" customFormat="1" ht="19.5" customHeight="1">
      <c r="A5" s="600" t="str">
        <f>'Biểu 15-NQ'!A4:G4</f>
        <v>(Kèm theo Nghị quyết số   96 /NQ-HĐND ngày  07  tháng 12 năm 2018 của HĐND tỉnh Điện Biên)</v>
      </c>
      <c r="B5" s="600"/>
      <c r="C5" s="600"/>
      <c r="D5" s="600"/>
      <c r="E5" s="600"/>
      <c r="F5" s="600"/>
      <c r="G5" s="600"/>
      <c r="H5" s="600"/>
    </row>
    <row r="6" spans="1:8" s="250" customFormat="1" ht="21" customHeight="1">
      <c r="A6" s="249"/>
      <c r="B6" s="249"/>
      <c r="C6" s="249"/>
      <c r="D6" s="249"/>
      <c r="E6" s="378"/>
      <c r="F6" s="249"/>
      <c r="G6" s="249"/>
      <c r="H6" s="249"/>
    </row>
    <row r="7" spans="1:8" ht="19.5" customHeight="1">
      <c r="A7" s="251"/>
      <c r="B7" s="251"/>
      <c r="C7" s="252"/>
      <c r="D7" s="252"/>
      <c r="E7" s="269"/>
      <c r="F7" s="601" t="s">
        <v>17</v>
      </c>
      <c r="G7" s="601"/>
      <c r="H7" s="601"/>
    </row>
    <row r="8" spans="1:8" s="253" customFormat="1" ht="26.25" customHeight="1">
      <c r="A8" s="596" t="s">
        <v>70</v>
      </c>
      <c r="B8" s="596" t="s">
        <v>18</v>
      </c>
      <c r="C8" s="596" t="s">
        <v>19</v>
      </c>
      <c r="D8" s="596" t="s">
        <v>450</v>
      </c>
      <c r="E8" s="602" t="s">
        <v>470</v>
      </c>
      <c r="F8" s="596" t="s">
        <v>71</v>
      </c>
      <c r="G8" s="596"/>
      <c r="H8" s="596"/>
    </row>
    <row r="9" spans="1:8" s="253" customFormat="1" ht="26.25" customHeight="1">
      <c r="A9" s="596"/>
      <c r="B9" s="596"/>
      <c r="C9" s="596"/>
      <c r="D9" s="596"/>
      <c r="E9" s="602"/>
      <c r="F9" s="596" t="s">
        <v>75</v>
      </c>
      <c r="G9" s="596" t="s">
        <v>76</v>
      </c>
      <c r="H9" s="597" t="s">
        <v>566</v>
      </c>
    </row>
    <row r="10" spans="1:8" s="253" customFormat="1" ht="46.5" customHeight="1">
      <c r="A10" s="596"/>
      <c r="B10" s="596"/>
      <c r="C10" s="596"/>
      <c r="D10" s="596"/>
      <c r="E10" s="602"/>
      <c r="F10" s="596"/>
      <c r="G10" s="596"/>
      <c r="H10" s="597"/>
    </row>
    <row r="11" spans="1:8" s="255" customFormat="1" ht="17.25" customHeight="1">
      <c r="A11" s="254" t="s">
        <v>3</v>
      </c>
      <c r="B11" s="254" t="s">
        <v>12</v>
      </c>
      <c r="C11" s="254">
        <v>1</v>
      </c>
      <c r="D11" s="254">
        <f>C11+1</f>
        <v>2</v>
      </c>
      <c r="E11" s="379">
        <f>D11+1</f>
        <v>3</v>
      </c>
      <c r="F11" s="254" t="s">
        <v>380</v>
      </c>
      <c r="G11" s="254" t="s">
        <v>381</v>
      </c>
      <c r="H11" s="254" t="s">
        <v>382</v>
      </c>
    </row>
    <row r="12" spans="1:8" s="252" customFormat="1" ht="22.5" customHeight="1">
      <c r="A12" s="337" t="s">
        <v>3</v>
      </c>
      <c r="B12" s="338" t="s">
        <v>383</v>
      </c>
      <c r="C12" s="259"/>
      <c r="D12" s="259"/>
      <c r="E12" s="380"/>
      <c r="F12" s="259"/>
      <c r="G12" s="259"/>
      <c r="H12" s="366"/>
    </row>
    <row r="13" spans="1:11" s="263" customFormat="1" ht="21.75" customHeight="1">
      <c r="A13" s="256" t="s">
        <v>4</v>
      </c>
      <c r="B13" s="257" t="s">
        <v>384</v>
      </c>
      <c r="C13" s="261">
        <f>C14+C15+C19+C21+C22+C20</f>
        <v>8698778</v>
      </c>
      <c r="D13" s="261">
        <f>D14+D15+D19+D21+D22+D20</f>
        <v>9131909</v>
      </c>
      <c r="E13" s="270">
        <f>E14+E15+E19+E21+E22+E20</f>
        <v>8719084</v>
      </c>
      <c r="F13" s="261">
        <f>E13-D13</f>
        <v>-412825</v>
      </c>
      <c r="G13" s="277">
        <f>E13/D13*100</f>
        <v>95.47931325202649</v>
      </c>
      <c r="H13" s="277">
        <f>E13/C13*100</f>
        <v>100.23343508708923</v>
      </c>
      <c r="I13" s="278">
        <f>C13+C35</f>
        <v>9131278</v>
      </c>
      <c r="J13" s="278">
        <f>D13+D35</f>
        <v>9591919</v>
      </c>
      <c r="K13" s="278">
        <f>E13+E35</f>
        <v>9175884</v>
      </c>
    </row>
    <row r="14" spans="1:8" s="252" customFormat="1" ht="21.75" customHeight="1">
      <c r="A14" s="264">
        <v>1</v>
      </c>
      <c r="B14" s="260" t="s">
        <v>385</v>
      </c>
      <c r="C14" s="258">
        <v>501900</v>
      </c>
      <c r="D14" s="258">
        <f>994749-D35</f>
        <v>534739</v>
      </c>
      <c r="E14" s="381">
        <f>1009537-E35</f>
        <v>552737</v>
      </c>
      <c r="F14" s="258">
        <f aca="true" t="shared" si="0" ref="F14:F42">E14-D14</f>
        <v>17998</v>
      </c>
      <c r="G14" s="277">
        <f aca="true" t="shared" si="1" ref="G14:G42">E14/D14*100</f>
        <v>103.3657541342599</v>
      </c>
      <c r="H14" s="277">
        <f aca="true" t="shared" si="2" ref="H14:H42">E14/C14*100</f>
        <v>110.12891014146244</v>
      </c>
    </row>
    <row r="15" spans="1:8" s="252" customFormat="1" ht="21.75" customHeight="1">
      <c r="A15" s="265">
        <f>A14+1</f>
        <v>2</v>
      </c>
      <c r="B15" s="260" t="s">
        <v>273</v>
      </c>
      <c r="C15" s="258">
        <f>C16+C17+C18</f>
        <v>8157784</v>
      </c>
      <c r="D15" s="258">
        <f>D16+D17+D18</f>
        <v>8459993</v>
      </c>
      <c r="E15" s="258">
        <f>E16+E17+E18</f>
        <v>8128950</v>
      </c>
      <c r="F15" s="258">
        <f t="shared" si="0"/>
        <v>-331043</v>
      </c>
      <c r="G15" s="277">
        <f t="shared" si="1"/>
        <v>96.08695893720007</v>
      </c>
      <c r="H15" s="277">
        <f t="shared" si="2"/>
        <v>99.64654616989124</v>
      </c>
    </row>
    <row r="16" spans="1:8" s="252" customFormat="1" ht="21.75" customHeight="1">
      <c r="A16" s="264"/>
      <c r="B16" s="260" t="s">
        <v>274</v>
      </c>
      <c r="C16" s="258">
        <f>5666899</f>
        <v>5666899</v>
      </c>
      <c r="D16" s="258">
        <f>5666899</f>
        <v>5666899</v>
      </c>
      <c r="E16" s="381">
        <v>5779899</v>
      </c>
      <c r="F16" s="258">
        <f t="shared" si="0"/>
        <v>113000</v>
      </c>
      <c r="G16" s="277">
        <f t="shared" si="1"/>
        <v>101.99403589158726</v>
      </c>
      <c r="H16" s="277">
        <f t="shared" si="2"/>
        <v>101.99403589158726</v>
      </c>
    </row>
    <row r="17" spans="1:8" s="252" customFormat="1" ht="21.75" customHeight="1">
      <c r="A17" s="264"/>
      <c r="B17" s="260" t="s">
        <v>484</v>
      </c>
      <c r="C17" s="258">
        <v>218707</v>
      </c>
      <c r="D17" s="258">
        <v>218707</v>
      </c>
      <c r="E17" s="381">
        <v>401126</v>
      </c>
      <c r="F17" s="258">
        <f>E17-D17</f>
        <v>182419</v>
      </c>
      <c r="G17" s="277">
        <f>E17/D17*100</f>
        <v>183.40793847476306</v>
      </c>
      <c r="H17" s="277">
        <f>E17/C17*100</f>
        <v>183.40793847476306</v>
      </c>
    </row>
    <row r="18" spans="1:8" s="252" customFormat="1" ht="21.75" customHeight="1">
      <c r="A18" s="264"/>
      <c r="B18" s="260" t="s">
        <v>275</v>
      </c>
      <c r="C18" s="258">
        <v>2272178</v>
      </c>
      <c r="D18" s="258">
        <v>2574387</v>
      </c>
      <c r="E18" s="381">
        <v>1947925</v>
      </c>
      <c r="F18" s="258">
        <f t="shared" si="0"/>
        <v>-626462</v>
      </c>
      <c r="G18" s="277">
        <f t="shared" si="1"/>
        <v>75.66558563261856</v>
      </c>
      <c r="H18" s="277">
        <f t="shared" si="2"/>
        <v>85.72941908600471</v>
      </c>
    </row>
    <row r="19" spans="1:8" s="252" customFormat="1" ht="21.75" customHeight="1">
      <c r="A19" s="265">
        <f>A15+1</f>
        <v>3</v>
      </c>
      <c r="B19" s="260" t="s">
        <v>276</v>
      </c>
      <c r="C19" s="258"/>
      <c r="D19" s="258"/>
      <c r="E19" s="381"/>
      <c r="F19" s="258"/>
      <c r="G19" s="277"/>
      <c r="H19" s="277"/>
    </row>
    <row r="20" spans="1:8" s="252" customFormat="1" ht="21.75" customHeight="1">
      <c r="A20" s="265">
        <v>4</v>
      </c>
      <c r="B20" s="260" t="s">
        <v>52</v>
      </c>
      <c r="C20" s="258">
        <f>45098-6004</f>
        <v>39094</v>
      </c>
      <c r="D20" s="258">
        <f>45098-6004</f>
        <v>39094</v>
      </c>
      <c r="E20" s="381">
        <v>37397</v>
      </c>
      <c r="F20" s="258">
        <f t="shared" si="0"/>
        <v>-1697</v>
      </c>
      <c r="G20" s="277">
        <f>E20/D20*100</f>
        <v>95.65918043689568</v>
      </c>
      <c r="H20" s="277">
        <f>E20/C20*100</f>
        <v>95.65918043689568</v>
      </c>
    </row>
    <row r="21" spans="1:8" s="252" customFormat="1" ht="21.75" customHeight="1">
      <c r="A21" s="265">
        <v>5</v>
      </c>
      <c r="B21" s="260" t="s">
        <v>456</v>
      </c>
      <c r="C21" s="258"/>
      <c r="D21" s="258">
        <v>36534</v>
      </c>
      <c r="E21" s="381"/>
      <c r="F21" s="258">
        <f t="shared" si="0"/>
        <v>-36534</v>
      </c>
      <c r="G21" s="277"/>
      <c r="H21" s="277"/>
    </row>
    <row r="22" spans="1:9" s="252" customFormat="1" ht="45.75" customHeight="1">
      <c r="A22" s="265">
        <v>6</v>
      </c>
      <c r="B22" s="260" t="s">
        <v>386</v>
      </c>
      <c r="C22" s="258"/>
      <c r="D22" s="258">
        <v>61549</v>
      </c>
      <c r="E22" s="381"/>
      <c r="F22" s="258">
        <f t="shared" si="0"/>
        <v>-61549</v>
      </c>
      <c r="G22" s="277"/>
      <c r="H22" s="277"/>
      <c r="I22" s="252">
        <v>8775751</v>
      </c>
    </row>
    <row r="23" spans="1:11" s="263" customFormat="1" ht="21.75" customHeight="1">
      <c r="A23" s="256" t="s">
        <v>10</v>
      </c>
      <c r="B23" s="257" t="s">
        <v>387</v>
      </c>
      <c r="C23" s="261">
        <f>C24+C25+C29</f>
        <v>8628927</v>
      </c>
      <c r="D23" s="261">
        <f>D24+D25+D29</f>
        <v>8951517</v>
      </c>
      <c r="E23" s="270">
        <f>E24+E25+E29</f>
        <v>8659440</v>
      </c>
      <c r="F23" s="261">
        <f t="shared" si="0"/>
        <v>-292077</v>
      </c>
      <c r="G23" s="277">
        <f t="shared" si="1"/>
        <v>96.73712288095973</v>
      </c>
      <c r="H23" s="277">
        <f t="shared" si="2"/>
        <v>100.3536129115474</v>
      </c>
      <c r="I23" s="280">
        <v>8484720</v>
      </c>
      <c r="J23" s="280">
        <f>E23+E30</f>
        <v>8719084</v>
      </c>
      <c r="K23" s="280">
        <f>I23-J23</f>
        <v>-234364</v>
      </c>
    </row>
    <row r="24" spans="1:11" s="252" customFormat="1" ht="21.75" customHeight="1">
      <c r="A24" s="264">
        <v>1</v>
      </c>
      <c r="B24" s="260" t="s">
        <v>388</v>
      </c>
      <c r="C24" s="258">
        <f>3994023+2000</f>
        <v>3996023</v>
      </c>
      <c r="D24" s="258">
        <v>3994506</v>
      </c>
      <c r="E24" s="381">
        <f>3494056+1294-2000</f>
        <v>3493350</v>
      </c>
      <c r="F24" s="258">
        <f t="shared" si="0"/>
        <v>-501156</v>
      </c>
      <c r="G24" s="277">
        <f t="shared" si="1"/>
        <v>87.45386788754355</v>
      </c>
      <c r="H24" s="277">
        <f t="shared" si="2"/>
        <v>87.42066799915817</v>
      </c>
      <c r="I24" s="284">
        <f>SUM(D24,D34)</f>
        <v>9411527</v>
      </c>
      <c r="J24" s="284">
        <f>I22-I23</f>
        <v>291031</v>
      </c>
      <c r="K24" s="284">
        <f>I23-I24</f>
        <v>-926807</v>
      </c>
    </row>
    <row r="25" spans="1:11" s="252" customFormat="1" ht="21.75" customHeight="1">
      <c r="A25" s="265">
        <f>A24+1</f>
        <v>2</v>
      </c>
      <c r="B25" s="260" t="s">
        <v>390</v>
      </c>
      <c r="C25" s="258">
        <f>C26+C28+C27</f>
        <v>4632904</v>
      </c>
      <c r="D25" s="258">
        <f>D26+D28+D27</f>
        <v>4957011</v>
      </c>
      <c r="E25" s="381">
        <f>E26+E28+E27</f>
        <v>5166090</v>
      </c>
      <c r="F25" s="258">
        <f t="shared" si="0"/>
        <v>209079</v>
      </c>
      <c r="G25" s="277">
        <f t="shared" si="1"/>
        <v>104.2178441806968</v>
      </c>
      <c r="H25" s="277">
        <f t="shared" si="2"/>
        <v>111.50867792641506</v>
      </c>
      <c r="I25" s="284">
        <v>7652022</v>
      </c>
      <c r="J25" s="284">
        <f>E13-E23</f>
        <v>59644</v>
      </c>
      <c r="K25" s="284"/>
    </row>
    <row r="26" spans="1:11" s="252" customFormat="1" ht="21.75" customHeight="1">
      <c r="A26" s="264"/>
      <c r="B26" s="260" t="s">
        <v>441</v>
      </c>
      <c r="C26" s="258">
        <v>3867008</v>
      </c>
      <c r="D26" s="258">
        <v>3867008</v>
      </c>
      <c r="E26" s="381">
        <f>E37</f>
        <v>3906433</v>
      </c>
      <c r="F26" s="258">
        <f t="shared" si="0"/>
        <v>39425</v>
      </c>
      <c r="G26" s="277">
        <f t="shared" si="1"/>
        <v>101.01952206977592</v>
      </c>
      <c r="H26" s="277">
        <f t="shared" si="2"/>
        <v>101.01952206977592</v>
      </c>
      <c r="I26" s="284">
        <f>I25-C35</f>
        <v>7219522</v>
      </c>
      <c r="J26" s="284"/>
      <c r="K26" s="284"/>
    </row>
    <row r="27" spans="1:11" s="252" customFormat="1" ht="21.75" customHeight="1">
      <c r="A27" s="264"/>
      <c r="B27" s="260" t="s">
        <v>504</v>
      </c>
      <c r="C27" s="258">
        <v>130093</v>
      </c>
      <c r="D27" s="258">
        <v>130093</v>
      </c>
      <c r="E27" s="381">
        <f>E38</f>
        <v>294888</v>
      </c>
      <c r="F27" s="258">
        <f>E27-D27</f>
        <v>164795</v>
      </c>
      <c r="G27" s="277">
        <f>E27/D27*100</f>
        <v>226.67476343846323</v>
      </c>
      <c r="H27" s="277">
        <f>E27/C27*100</f>
        <v>226.67476343846323</v>
      </c>
      <c r="I27" s="284"/>
      <c r="J27" s="284"/>
      <c r="K27" s="284"/>
    </row>
    <row r="28" spans="1:11" s="252" customFormat="1" ht="21.75" customHeight="1">
      <c r="A28" s="264"/>
      <c r="B28" s="260" t="s">
        <v>442</v>
      </c>
      <c r="C28" s="258">
        <v>635803</v>
      </c>
      <c r="D28" s="258">
        <f>D39</f>
        <v>959910</v>
      </c>
      <c r="E28" s="381">
        <v>964769</v>
      </c>
      <c r="F28" s="258">
        <f t="shared" si="0"/>
        <v>4859</v>
      </c>
      <c r="G28" s="277">
        <f t="shared" si="1"/>
        <v>100.50619328895418</v>
      </c>
      <c r="H28" s="277">
        <f>E28/C28*100</f>
        <v>151.74024029455663</v>
      </c>
      <c r="I28" s="281"/>
      <c r="J28" s="281"/>
      <c r="K28" s="281"/>
    </row>
    <row r="29" spans="1:11" s="252" customFormat="1" ht="21.75" customHeight="1">
      <c r="A29" s="265">
        <f>A25+1</f>
        <v>3</v>
      </c>
      <c r="B29" s="260" t="s">
        <v>137</v>
      </c>
      <c r="C29" s="258"/>
      <c r="D29" s="258"/>
      <c r="E29" s="381"/>
      <c r="F29" s="258"/>
      <c r="G29" s="277"/>
      <c r="H29" s="277"/>
      <c r="I29" s="281"/>
      <c r="J29" s="281"/>
      <c r="K29" s="281"/>
    </row>
    <row r="30" spans="1:11" s="263" customFormat="1" ht="21.75" customHeight="1">
      <c r="A30" s="266" t="s">
        <v>14</v>
      </c>
      <c r="B30" s="267" t="s">
        <v>440</v>
      </c>
      <c r="C30" s="261">
        <v>69851</v>
      </c>
      <c r="D30" s="261">
        <v>80255</v>
      </c>
      <c r="E30" s="270">
        <v>59644</v>
      </c>
      <c r="F30" s="261">
        <f t="shared" si="0"/>
        <v>-20611</v>
      </c>
      <c r="G30" s="277">
        <f t="shared" si="1"/>
        <v>74.31811102112019</v>
      </c>
      <c r="H30" s="277">
        <f t="shared" si="2"/>
        <v>85.3874676096262</v>
      </c>
      <c r="I30" s="282"/>
      <c r="J30" s="282">
        <v>149251</v>
      </c>
      <c r="K30" s="280">
        <f>SUM(C30:C31)</f>
        <v>92251</v>
      </c>
    </row>
    <row r="31" spans="1:11" s="263" customFormat="1" ht="21.75" customHeight="1">
      <c r="A31" s="266" t="s">
        <v>15</v>
      </c>
      <c r="B31" s="267" t="s">
        <v>189</v>
      </c>
      <c r="C31" s="279">
        <v>22400</v>
      </c>
      <c r="D31" s="261">
        <v>11996</v>
      </c>
      <c r="E31" s="270">
        <v>1300</v>
      </c>
      <c r="F31" s="261">
        <f t="shared" si="0"/>
        <v>-10696</v>
      </c>
      <c r="G31" s="277">
        <f>E31/D31*100</f>
        <v>10.836945648549516</v>
      </c>
      <c r="H31" s="277">
        <f>E31/C31*100</f>
        <v>5.803571428571429</v>
      </c>
      <c r="I31" s="282"/>
      <c r="J31" s="282"/>
      <c r="K31" s="280">
        <f>K30-D30</f>
        <v>11996</v>
      </c>
    </row>
    <row r="32" spans="1:11" s="263" customFormat="1" ht="21.75" customHeight="1">
      <c r="A32" s="266"/>
      <c r="B32" s="267"/>
      <c r="C32" s="279"/>
      <c r="D32" s="261"/>
      <c r="E32" s="270"/>
      <c r="F32" s="261"/>
      <c r="G32" s="277"/>
      <c r="H32" s="277"/>
      <c r="I32" s="282"/>
      <c r="J32" s="282"/>
      <c r="K32" s="280"/>
    </row>
    <row r="33" spans="1:11" s="269" customFormat="1" ht="21.75" customHeight="1">
      <c r="A33" s="256" t="s">
        <v>12</v>
      </c>
      <c r="B33" s="262" t="s">
        <v>393</v>
      </c>
      <c r="C33" s="268"/>
      <c r="D33" s="268"/>
      <c r="E33" s="268"/>
      <c r="F33" s="261"/>
      <c r="G33" s="277"/>
      <c r="H33" s="277"/>
      <c r="I33" s="283"/>
      <c r="J33" s="283"/>
      <c r="K33" s="283"/>
    </row>
    <row r="34" spans="1:10" s="269" customFormat="1" ht="21.75" customHeight="1">
      <c r="A34" s="256" t="s">
        <v>4</v>
      </c>
      <c r="B34" s="257" t="s">
        <v>384</v>
      </c>
      <c r="C34" s="270">
        <f>C35+C36+C40+C41</f>
        <v>5065404</v>
      </c>
      <c r="D34" s="270">
        <f>D35+D36+D40+D41</f>
        <v>5417021</v>
      </c>
      <c r="E34" s="270">
        <f>E35+E36+E40+E41</f>
        <v>5622890</v>
      </c>
      <c r="F34" s="261">
        <f t="shared" si="0"/>
        <v>205869</v>
      </c>
      <c r="G34" s="277">
        <f t="shared" si="1"/>
        <v>103.80040985626601</v>
      </c>
      <c r="H34" s="277">
        <f t="shared" si="2"/>
        <v>111.0057559081171</v>
      </c>
      <c r="I34" s="269">
        <v>18300</v>
      </c>
      <c r="J34" s="300">
        <f>E34+I34</f>
        <v>5641190</v>
      </c>
    </row>
    <row r="35" spans="1:9" s="252" customFormat="1" ht="21.75" customHeight="1">
      <c r="A35" s="264">
        <v>1</v>
      </c>
      <c r="B35" s="260" t="s">
        <v>385</v>
      </c>
      <c r="C35" s="258">
        <v>432500</v>
      </c>
      <c r="D35" s="258">
        <v>460010</v>
      </c>
      <c r="E35" s="381">
        <v>456800</v>
      </c>
      <c r="F35" s="258">
        <f t="shared" si="0"/>
        <v>-3210</v>
      </c>
      <c r="G35" s="277">
        <f t="shared" si="1"/>
        <v>99.30218908284603</v>
      </c>
      <c r="H35" s="277">
        <f t="shared" si="2"/>
        <v>105.61849710982658</v>
      </c>
      <c r="I35" s="252" t="s">
        <v>394</v>
      </c>
    </row>
    <row r="36" spans="1:8" s="252" customFormat="1" ht="21.75" customHeight="1">
      <c r="A36" s="265">
        <f>A35+1</f>
        <v>2</v>
      </c>
      <c r="B36" s="260" t="s">
        <v>273</v>
      </c>
      <c r="C36" s="258">
        <f>C37+C39+C38</f>
        <v>4632904</v>
      </c>
      <c r="D36" s="258">
        <f>D37+D39+D38</f>
        <v>4957011</v>
      </c>
      <c r="E36" s="381">
        <f>E37+E39+E38</f>
        <v>5166090</v>
      </c>
      <c r="F36" s="258">
        <f t="shared" si="0"/>
        <v>209079</v>
      </c>
      <c r="G36" s="277">
        <f t="shared" si="1"/>
        <v>104.2178441806968</v>
      </c>
      <c r="H36" s="277">
        <f t="shared" si="2"/>
        <v>111.50867792641506</v>
      </c>
    </row>
    <row r="37" spans="1:9" s="252" customFormat="1" ht="21.75" customHeight="1">
      <c r="A37" s="264"/>
      <c r="B37" s="260" t="s">
        <v>443</v>
      </c>
      <c r="C37" s="258">
        <v>3867008</v>
      </c>
      <c r="D37" s="258">
        <v>3867008</v>
      </c>
      <c r="E37" s="381">
        <v>3906433</v>
      </c>
      <c r="F37" s="258">
        <f t="shared" si="0"/>
        <v>39425</v>
      </c>
      <c r="G37" s="277">
        <f t="shared" si="1"/>
        <v>101.01952206977592</v>
      </c>
      <c r="H37" s="277">
        <f t="shared" si="2"/>
        <v>101.01952206977592</v>
      </c>
      <c r="I37" s="252" t="s">
        <v>389</v>
      </c>
    </row>
    <row r="38" spans="1:8" s="252" customFormat="1" ht="21.75" customHeight="1">
      <c r="A38" s="264"/>
      <c r="B38" s="260" t="s">
        <v>483</v>
      </c>
      <c r="C38" s="258">
        <v>130093</v>
      </c>
      <c r="D38" s="258">
        <v>130093</v>
      </c>
      <c r="E38" s="381">
        <v>294888</v>
      </c>
      <c r="F38" s="258">
        <f>E38-D38</f>
        <v>164795</v>
      </c>
      <c r="G38" s="277">
        <f>E38/D38*100</f>
        <v>226.67476343846323</v>
      </c>
      <c r="H38" s="277">
        <f>E38/C38*100</f>
        <v>226.67476343846323</v>
      </c>
    </row>
    <row r="39" spans="1:9" s="252" customFormat="1" ht="21.75" customHeight="1">
      <c r="A39" s="264"/>
      <c r="B39" s="260" t="s">
        <v>444</v>
      </c>
      <c r="C39" s="258">
        <v>635803</v>
      </c>
      <c r="D39" s="258">
        <v>959910</v>
      </c>
      <c r="E39" s="381">
        <v>964769</v>
      </c>
      <c r="F39" s="258">
        <f t="shared" si="0"/>
        <v>4859</v>
      </c>
      <c r="G39" s="277">
        <f t="shared" si="1"/>
        <v>100.50619328895418</v>
      </c>
      <c r="H39" s="277">
        <f>E39/C39*100</f>
        <v>151.74024029455663</v>
      </c>
      <c r="I39" s="252" t="s">
        <v>389</v>
      </c>
    </row>
    <row r="40" spans="1:8" s="252" customFormat="1" ht="25.5" customHeight="1" hidden="1">
      <c r="A40" s="265">
        <f>A36+1</f>
        <v>3</v>
      </c>
      <c r="B40" s="260" t="s">
        <v>277</v>
      </c>
      <c r="C40" s="258"/>
      <c r="D40" s="258"/>
      <c r="E40" s="381"/>
      <c r="F40" s="261">
        <f t="shared" si="0"/>
        <v>0</v>
      </c>
      <c r="G40" s="277" t="e">
        <f t="shared" si="1"/>
        <v>#DIV/0!</v>
      </c>
      <c r="H40" s="277"/>
    </row>
    <row r="41" spans="1:8" s="252" customFormat="1" ht="40.5" customHeight="1" hidden="1">
      <c r="A41" s="265">
        <f>A40+1</f>
        <v>4</v>
      </c>
      <c r="B41" s="260" t="s">
        <v>159</v>
      </c>
      <c r="C41" s="258"/>
      <c r="D41" s="258"/>
      <c r="E41" s="381"/>
      <c r="F41" s="261">
        <f t="shared" si="0"/>
        <v>0</v>
      </c>
      <c r="G41" s="277" t="e">
        <f t="shared" si="1"/>
        <v>#DIV/0!</v>
      </c>
      <c r="H41" s="277"/>
    </row>
    <row r="42" spans="1:9" s="252" customFormat="1" ht="21" customHeight="1">
      <c r="A42" s="256" t="s">
        <v>10</v>
      </c>
      <c r="B42" s="257" t="s">
        <v>387</v>
      </c>
      <c r="C42" s="261">
        <f>C34</f>
        <v>5065404</v>
      </c>
      <c r="D42" s="261">
        <v>5364921</v>
      </c>
      <c r="E42" s="270">
        <f>E34</f>
        <v>5622890</v>
      </c>
      <c r="F42" s="261">
        <f t="shared" si="0"/>
        <v>257969</v>
      </c>
      <c r="G42" s="277">
        <f t="shared" si="1"/>
        <v>104.80843986332698</v>
      </c>
      <c r="H42" s="277">
        <f t="shared" si="2"/>
        <v>111.0057559081171</v>
      </c>
      <c r="I42" s="252" t="s">
        <v>389</v>
      </c>
    </row>
    <row r="43" spans="1:8" s="252" customFormat="1" ht="40.5" customHeight="1" hidden="1">
      <c r="A43" s="264">
        <v>1</v>
      </c>
      <c r="B43" s="260" t="s">
        <v>395</v>
      </c>
      <c r="C43" s="258"/>
      <c r="D43" s="258"/>
      <c r="E43" s="381"/>
      <c r="F43" s="261"/>
      <c r="G43" s="277"/>
      <c r="H43" s="277"/>
    </row>
    <row r="44" spans="1:8" s="252" customFormat="1" ht="18.75" hidden="1">
      <c r="A44" s="265">
        <f>A43+1</f>
        <v>2</v>
      </c>
      <c r="B44" s="260" t="s">
        <v>396</v>
      </c>
      <c r="C44" s="258"/>
      <c r="D44" s="258"/>
      <c r="E44" s="381"/>
      <c r="F44" s="261"/>
      <c r="G44" s="277"/>
      <c r="H44" s="277"/>
    </row>
    <row r="45" spans="1:8" s="252" customFormat="1" ht="18.75" hidden="1">
      <c r="A45" s="264" t="s">
        <v>11</v>
      </c>
      <c r="B45" s="260" t="s">
        <v>391</v>
      </c>
      <c r="C45" s="258"/>
      <c r="D45" s="258"/>
      <c r="E45" s="381"/>
      <c r="F45" s="261"/>
      <c r="G45" s="277"/>
      <c r="H45" s="277"/>
    </row>
    <row r="46" spans="1:8" s="252" customFormat="1" ht="18.75" hidden="1">
      <c r="A46" s="264" t="s">
        <v>11</v>
      </c>
      <c r="B46" s="260" t="s">
        <v>392</v>
      </c>
      <c r="C46" s="258"/>
      <c r="D46" s="258"/>
      <c r="E46" s="381"/>
      <c r="F46" s="261"/>
      <c r="G46" s="277"/>
      <c r="H46" s="277"/>
    </row>
    <row r="47" spans="1:8" s="252" customFormat="1" ht="18.75" hidden="1">
      <c r="A47" s="265">
        <f>A44+1</f>
        <v>3</v>
      </c>
      <c r="B47" s="260" t="s">
        <v>137</v>
      </c>
      <c r="C47" s="258"/>
      <c r="D47" s="258"/>
      <c r="E47" s="381"/>
      <c r="F47" s="261"/>
      <c r="G47" s="277"/>
      <c r="H47" s="277"/>
    </row>
    <row r="48" spans="1:8" ht="15.75" customHeight="1">
      <c r="A48" s="271"/>
      <c r="B48" s="271"/>
      <c r="C48" s="271"/>
      <c r="D48" s="271"/>
      <c r="E48" s="382"/>
      <c r="F48" s="271"/>
      <c r="G48" s="271"/>
      <c r="H48" s="272"/>
    </row>
    <row r="49" spans="1:7" ht="18.75">
      <c r="A49" s="252"/>
      <c r="B49" s="252"/>
      <c r="C49" s="252"/>
      <c r="D49" s="252"/>
      <c r="E49" s="269"/>
      <c r="F49" s="252"/>
      <c r="G49" s="252"/>
    </row>
    <row r="50" spans="1:7" ht="18.75">
      <c r="A50" s="252"/>
      <c r="B50" s="252"/>
      <c r="C50" s="252"/>
      <c r="D50" s="252"/>
      <c r="E50" s="269"/>
      <c r="F50" s="252"/>
      <c r="G50" s="252"/>
    </row>
    <row r="51" spans="1:7" ht="18.75">
      <c r="A51" s="252"/>
      <c r="B51" s="252"/>
      <c r="C51" s="252"/>
      <c r="D51" s="252"/>
      <c r="E51" s="269"/>
      <c r="F51" s="252"/>
      <c r="G51" s="252"/>
    </row>
    <row r="52" spans="1:7" ht="18.75">
      <c r="A52" s="252"/>
      <c r="B52" s="252"/>
      <c r="C52" s="252"/>
      <c r="D52" s="252"/>
      <c r="E52" s="269"/>
      <c r="F52" s="252"/>
      <c r="G52" s="252"/>
    </row>
    <row r="53" spans="1:7" ht="18.75">
      <c r="A53" s="252"/>
      <c r="B53" s="252"/>
      <c r="C53" s="252"/>
      <c r="D53" s="252"/>
      <c r="E53" s="269"/>
      <c r="F53" s="252"/>
      <c r="G53" s="252"/>
    </row>
    <row r="54" spans="1:7" ht="22.5" customHeight="1">
      <c r="A54" s="252"/>
      <c r="B54" s="252"/>
      <c r="C54" s="252"/>
      <c r="D54" s="252"/>
      <c r="E54" s="269"/>
      <c r="F54" s="252"/>
      <c r="G54" s="252"/>
    </row>
    <row r="55" spans="1:7" ht="18.75">
      <c r="A55" s="252"/>
      <c r="B55" s="252"/>
      <c r="C55" s="252"/>
      <c r="D55" s="252"/>
      <c r="E55" s="269"/>
      <c r="F55" s="252"/>
      <c r="G55" s="252"/>
    </row>
    <row r="56" spans="1:7" ht="18.75">
      <c r="A56" s="252"/>
      <c r="B56" s="252"/>
      <c r="C56" s="252"/>
      <c r="D56" s="252"/>
      <c r="E56" s="269"/>
      <c r="F56" s="252"/>
      <c r="G56" s="252"/>
    </row>
    <row r="57" spans="1:7" ht="18.75">
      <c r="A57" s="252"/>
      <c r="B57" s="252"/>
      <c r="C57" s="252"/>
      <c r="D57" s="252"/>
      <c r="E57" s="269"/>
      <c r="F57" s="252"/>
      <c r="G57" s="252"/>
    </row>
    <row r="58" spans="1:7" ht="18.75">
      <c r="A58" s="252"/>
      <c r="B58" s="252"/>
      <c r="C58" s="252"/>
      <c r="D58" s="252"/>
      <c r="E58" s="269"/>
      <c r="F58" s="252"/>
      <c r="G58" s="252"/>
    </row>
  </sheetData>
  <sheetProtection/>
  <mergeCells count="13">
    <mergeCell ref="D8:D10"/>
    <mergeCell ref="E8:E10"/>
    <mergeCell ref="F8:H8"/>
    <mergeCell ref="F9:F10"/>
    <mergeCell ref="G9:G10"/>
    <mergeCell ref="H9:H10"/>
    <mergeCell ref="D1:H1"/>
    <mergeCell ref="A3:H4"/>
    <mergeCell ref="A5:H5"/>
    <mergeCell ref="F7:H7"/>
    <mergeCell ref="A8:A10"/>
    <mergeCell ref="B8:B10"/>
    <mergeCell ref="C8:C10"/>
  </mergeCells>
  <printOptions horizontalCentered="1"/>
  <pageMargins left="0" right="0" top="0.5" bottom="0.5" header="0" footer="0"/>
  <pageSetup fitToHeight="5" horizontalDpi="600" verticalDpi="600" orientation="portrait" paperSize="9" scale="80" r:id="rId1"/>
  <headerFooter alignWithMargins="0">
    <oddFooter>&amp;C&amp;".VnTime,Italic"&amp;8
</oddFooter>
  </headerFooter>
</worksheet>
</file>

<file path=xl/worksheets/sheet6.xml><?xml version="1.0" encoding="utf-8"?>
<worksheet xmlns="http://schemas.openxmlformats.org/spreadsheetml/2006/main" xmlns:r="http://schemas.openxmlformats.org/officeDocument/2006/relationships">
  <dimension ref="A1:AC39"/>
  <sheetViews>
    <sheetView view="pageBreakPreview" zoomScale="60" zoomScaleNormal="80" zoomScalePageLayoutView="0" workbookViewId="0" topLeftCell="A4">
      <selection activeCell="R4" sqref="R4:U4"/>
    </sheetView>
  </sheetViews>
  <sheetFormatPr defaultColWidth="8.796875" defaultRowHeight="15"/>
  <cols>
    <col min="1" max="1" width="6.09765625" style="196" customWidth="1"/>
    <col min="2" max="2" width="26.8984375" style="196" customWidth="1"/>
    <col min="3" max="4" width="9.3984375" style="196" customWidth="1"/>
    <col min="5" max="6" width="10.3984375" style="196" customWidth="1"/>
    <col min="7" max="7" width="7.09765625" style="196" customWidth="1"/>
    <col min="8" max="13" width="10.3984375" style="196" customWidth="1"/>
    <col min="14" max="14" width="9.09765625" style="196" customWidth="1"/>
    <col min="15" max="21" width="9" style="196" customWidth="1"/>
    <col min="22" max="27" width="0" style="196" hidden="1" customWidth="1"/>
    <col min="28" max="16384" width="9" style="196" customWidth="1"/>
  </cols>
  <sheetData>
    <row r="1" spans="1:27" ht="21" customHeight="1">
      <c r="A1" s="194"/>
      <c r="B1" s="194"/>
      <c r="C1" s="195"/>
      <c r="D1" s="195"/>
      <c r="E1" s="195"/>
      <c r="F1" s="195"/>
      <c r="G1" s="195"/>
      <c r="H1" s="195"/>
      <c r="I1" s="610"/>
      <c r="J1" s="610"/>
      <c r="K1" s="610"/>
      <c r="L1" s="610"/>
      <c r="M1" s="610"/>
      <c r="N1" s="610"/>
      <c r="O1" s="610" t="s">
        <v>347</v>
      </c>
      <c r="P1" s="610"/>
      <c r="Q1" s="610"/>
      <c r="R1" s="610"/>
      <c r="S1" s="610"/>
      <c r="T1" s="610"/>
      <c r="U1" s="610"/>
      <c r="V1" s="610"/>
      <c r="W1" s="610"/>
      <c r="X1" s="610"/>
      <c r="Y1" s="610"/>
      <c r="Z1" s="610"/>
      <c r="AA1" s="610"/>
    </row>
    <row r="2" spans="1:27" ht="21" customHeight="1">
      <c r="A2" s="607" t="s">
        <v>505</v>
      </c>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row>
    <row r="3" spans="1:27" ht="21" customHeight="1">
      <c r="A3" s="608" t="str">
        <f>'Biểu 15-NQ'!A4:G4</f>
        <v>(Kèm theo Nghị quyết số   96 /NQ-HĐND ngày  07  tháng 12 năm 2018 của HĐND tỉnh Điện Biên)</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row>
    <row r="4" spans="1:29" ht="19.5" customHeight="1">
      <c r="A4" s="197"/>
      <c r="B4" s="197"/>
      <c r="C4" s="198"/>
      <c r="D4" s="198"/>
      <c r="E4" s="198"/>
      <c r="F4" s="198"/>
      <c r="G4" s="198"/>
      <c r="H4" s="198"/>
      <c r="I4" s="612"/>
      <c r="J4" s="612"/>
      <c r="K4" s="612"/>
      <c r="L4" s="612"/>
      <c r="M4" s="612"/>
      <c r="N4" s="612"/>
      <c r="R4" s="611" t="s">
        <v>318</v>
      </c>
      <c r="S4" s="611"/>
      <c r="T4" s="611"/>
      <c r="U4" s="611"/>
      <c r="X4" s="609"/>
      <c r="Y4" s="609"/>
      <c r="Z4" s="609"/>
      <c r="AA4" s="609"/>
      <c r="AB4" s="301"/>
      <c r="AC4" s="301"/>
    </row>
    <row r="5" spans="1:27" ht="23.25" customHeight="1">
      <c r="A5" s="603" t="s">
        <v>1</v>
      </c>
      <c r="B5" s="603" t="s">
        <v>53</v>
      </c>
      <c r="C5" s="603" t="s">
        <v>154</v>
      </c>
      <c r="D5" s="603" t="s">
        <v>322</v>
      </c>
      <c r="E5" s="603" t="s">
        <v>323</v>
      </c>
      <c r="F5" s="603"/>
      <c r="G5" s="603"/>
      <c r="H5" s="603"/>
      <c r="I5" s="603"/>
      <c r="J5" s="603"/>
      <c r="K5" s="603"/>
      <c r="L5" s="603"/>
      <c r="M5" s="603"/>
      <c r="N5" s="603"/>
      <c r="O5" s="603"/>
      <c r="P5" s="603"/>
      <c r="Q5" s="603"/>
      <c r="R5" s="603"/>
      <c r="S5" s="603"/>
      <c r="T5" s="603"/>
      <c r="U5" s="603" t="s">
        <v>324</v>
      </c>
      <c r="V5" s="603" t="s">
        <v>55</v>
      </c>
      <c r="W5" s="603"/>
      <c r="X5" s="603"/>
      <c r="Y5" s="603"/>
      <c r="Z5" s="603"/>
      <c r="AA5" s="603"/>
    </row>
    <row r="6" spans="1:27" ht="23.25" customHeight="1">
      <c r="A6" s="603"/>
      <c r="B6" s="603"/>
      <c r="C6" s="603"/>
      <c r="D6" s="603"/>
      <c r="E6" s="603" t="s">
        <v>325</v>
      </c>
      <c r="F6" s="603" t="s">
        <v>326</v>
      </c>
      <c r="G6" s="604" t="s">
        <v>327</v>
      </c>
      <c r="H6" s="604" t="s">
        <v>328</v>
      </c>
      <c r="I6" s="604" t="s">
        <v>329</v>
      </c>
      <c r="J6" s="604" t="s">
        <v>330</v>
      </c>
      <c r="K6" s="604" t="s">
        <v>331</v>
      </c>
      <c r="L6" s="604" t="s">
        <v>332</v>
      </c>
      <c r="M6" s="604" t="s">
        <v>333</v>
      </c>
      <c r="N6" s="604" t="s">
        <v>334</v>
      </c>
      <c r="O6" s="604" t="s">
        <v>335</v>
      </c>
      <c r="P6" s="604" t="s">
        <v>336</v>
      </c>
      <c r="Q6" s="604" t="s">
        <v>337</v>
      </c>
      <c r="R6" s="604" t="s">
        <v>338</v>
      </c>
      <c r="S6" s="604" t="s">
        <v>339</v>
      </c>
      <c r="T6" s="604" t="s">
        <v>340</v>
      </c>
      <c r="U6" s="603"/>
      <c r="V6" s="603" t="s">
        <v>341</v>
      </c>
      <c r="W6" s="603" t="s">
        <v>342</v>
      </c>
      <c r="X6" s="603" t="s">
        <v>343</v>
      </c>
      <c r="Y6" s="603" t="s">
        <v>344</v>
      </c>
      <c r="Z6" s="603" t="s">
        <v>345</v>
      </c>
      <c r="AA6" s="603" t="s">
        <v>346</v>
      </c>
    </row>
    <row r="7" spans="1:27" ht="23.25" customHeight="1">
      <c r="A7" s="603"/>
      <c r="B7" s="603"/>
      <c r="C7" s="603"/>
      <c r="D7" s="603"/>
      <c r="E7" s="603"/>
      <c r="F7" s="603"/>
      <c r="G7" s="605"/>
      <c r="H7" s="605"/>
      <c r="I7" s="605"/>
      <c r="J7" s="605"/>
      <c r="K7" s="605"/>
      <c r="L7" s="605"/>
      <c r="M7" s="605"/>
      <c r="N7" s="605"/>
      <c r="O7" s="605"/>
      <c r="P7" s="605"/>
      <c r="Q7" s="605"/>
      <c r="R7" s="605"/>
      <c r="S7" s="605"/>
      <c r="T7" s="605"/>
      <c r="U7" s="603"/>
      <c r="V7" s="603"/>
      <c r="W7" s="603"/>
      <c r="X7" s="603"/>
      <c r="Y7" s="603"/>
      <c r="Z7" s="603"/>
      <c r="AA7" s="603"/>
    </row>
    <row r="8" spans="1:27" ht="23.25" customHeight="1">
      <c r="A8" s="603"/>
      <c r="B8" s="603"/>
      <c r="C8" s="603"/>
      <c r="D8" s="603"/>
      <c r="E8" s="603"/>
      <c r="F8" s="603"/>
      <c r="G8" s="605"/>
      <c r="H8" s="605"/>
      <c r="I8" s="605"/>
      <c r="J8" s="605"/>
      <c r="K8" s="605"/>
      <c r="L8" s="605"/>
      <c r="M8" s="605"/>
      <c r="N8" s="605"/>
      <c r="O8" s="605"/>
      <c r="P8" s="605"/>
      <c r="Q8" s="605"/>
      <c r="R8" s="605"/>
      <c r="S8" s="605"/>
      <c r="T8" s="605"/>
      <c r="U8" s="603"/>
      <c r="V8" s="603"/>
      <c r="W8" s="603"/>
      <c r="X8" s="603"/>
      <c r="Y8" s="603"/>
      <c r="Z8" s="603"/>
      <c r="AA8" s="603"/>
    </row>
    <row r="9" spans="1:27" s="199" customFormat="1" ht="23.25" customHeight="1">
      <c r="A9" s="603"/>
      <c r="B9" s="603"/>
      <c r="C9" s="603"/>
      <c r="D9" s="603"/>
      <c r="E9" s="603"/>
      <c r="F9" s="603"/>
      <c r="G9" s="605"/>
      <c r="H9" s="605"/>
      <c r="I9" s="605"/>
      <c r="J9" s="605"/>
      <c r="K9" s="605"/>
      <c r="L9" s="605"/>
      <c r="M9" s="605"/>
      <c r="N9" s="605"/>
      <c r="O9" s="605"/>
      <c r="P9" s="605"/>
      <c r="Q9" s="605"/>
      <c r="R9" s="605"/>
      <c r="S9" s="605"/>
      <c r="T9" s="605"/>
      <c r="U9" s="603"/>
      <c r="V9" s="603"/>
      <c r="W9" s="603"/>
      <c r="X9" s="603"/>
      <c r="Y9" s="603"/>
      <c r="Z9" s="603"/>
      <c r="AA9" s="603"/>
    </row>
    <row r="10" spans="1:27" s="199" customFormat="1" ht="23.25" customHeight="1">
      <c r="A10" s="603"/>
      <c r="B10" s="603"/>
      <c r="C10" s="603"/>
      <c r="D10" s="603"/>
      <c r="E10" s="603"/>
      <c r="F10" s="603"/>
      <c r="G10" s="605"/>
      <c r="H10" s="605"/>
      <c r="I10" s="605"/>
      <c r="J10" s="605"/>
      <c r="K10" s="605"/>
      <c r="L10" s="605"/>
      <c r="M10" s="605"/>
      <c r="N10" s="605"/>
      <c r="O10" s="605"/>
      <c r="P10" s="605"/>
      <c r="Q10" s="605"/>
      <c r="R10" s="605"/>
      <c r="S10" s="605"/>
      <c r="T10" s="605"/>
      <c r="U10" s="603"/>
      <c r="V10" s="603"/>
      <c r="W10" s="603"/>
      <c r="X10" s="603"/>
      <c r="Y10" s="603"/>
      <c r="Z10" s="603"/>
      <c r="AA10" s="603"/>
    </row>
    <row r="11" spans="1:27" s="199" customFormat="1" ht="23.25" customHeight="1">
      <c r="A11" s="603"/>
      <c r="B11" s="603"/>
      <c r="C11" s="603"/>
      <c r="D11" s="603"/>
      <c r="E11" s="603"/>
      <c r="F11" s="603"/>
      <c r="G11" s="605"/>
      <c r="H11" s="605"/>
      <c r="I11" s="605"/>
      <c r="J11" s="605"/>
      <c r="K11" s="605"/>
      <c r="L11" s="605"/>
      <c r="M11" s="605"/>
      <c r="N11" s="605"/>
      <c r="O11" s="605"/>
      <c r="P11" s="605"/>
      <c r="Q11" s="605"/>
      <c r="R11" s="605"/>
      <c r="S11" s="605"/>
      <c r="T11" s="605"/>
      <c r="U11" s="603"/>
      <c r="V11" s="603"/>
      <c r="W11" s="603"/>
      <c r="X11" s="603"/>
      <c r="Y11" s="603"/>
      <c r="Z11" s="603"/>
      <c r="AA11" s="603"/>
    </row>
    <row r="12" spans="1:27" s="199" customFormat="1" ht="23.25" customHeight="1">
      <c r="A12" s="603"/>
      <c r="B12" s="603"/>
      <c r="C12" s="603"/>
      <c r="D12" s="603"/>
      <c r="E12" s="603"/>
      <c r="F12" s="603"/>
      <c r="G12" s="605"/>
      <c r="H12" s="605"/>
      <c r="I12" s="605"/>
      <c r="J12" s="605"/>
      <c r="K12" s="605"/>
      <c r="L12" s="605"/>
      <c r="M12" s="605"/>
      <c r="N12" s="605"/>
      <c r="O12" s="605"/>
      <c r="P12" s="605"/>
      <c r="Q12" s="605"/>
      <c r="R12" s="605"/>
      <c r="S12" s="605"/>
      <c r="T12" s="605"/>
      <c r="U12" s="603"/>
      <c r="V12" s="603"/>
      <c r="W12" s="603"/>
      <c r="X12" s="603"/>
      <c r="Y12" s="603"/>
      <c r="Z12" s="603"/>
      <c r="AA12" s="603"/>
    </row>
    <row r="13" spans="1:27" s="199" customFormat="1" ht="23.25" customHeight="1">
      <c r="A13" s="603"/>
      <c r="B13" s="603"/>
      <c r="C13" s="603"/>
      <c r="D13" s="603"/>
      <c r="E13" s="603"/>
      <c r="F13" s="603"/>
      <c r="G13" s="605"/>
      <c r="H13" s="605"/>
      <c r="I13" s="605"/>
      <c r="J13" s="605"/>
      <c r="K13" s="605"/>
      <c r="L13" s="605"/>
      <c r="M13" s="605"/>
      <c r="N13" s="605"/>
      <c r="O13" s="605"/>
      <c r="P13" s="605"/>
      <c r="Q13" s="605"/>
      <c r="R13" s="605"/>
      <c r="S13" s="605"/>
      <c r="T13" s="605"/>
      <c r="U13" s="603"/>
      <c r="V13" s="603"/>
      <c r="W13" s="603"/>
      <c r="X13" s="603"/>
      <c r="Y13" s="603"/>
      <c r="Z13" s="603"/>
      <c r="AA13" s="603"/>
    </row>
    <row r="14" spans="1:27" s="199" customFormat="1" ht="15.75">
      <c r="A14" s="603"/>
      <c r="B14" s="603"/>
      <c r="C14" s="603"/>
      <c r="D14" s="603"/>
      <c r="E14" s="603"/>
      <c r="F14" s="603"/>
      <c r="G14" s="606"/>
      <c r="H14" s="606"/>
      <c r="I14" s="606"/>
      <c r="J14" s="606"/>
      <c r="K14" s="606"/>
      <c r="L14" s="606"/>
      <c r="M14" s="606"/>
      <c r="N14" s="606"/>
      <c r="O14" s="606"/>
      <c r="P14" s="606"/>
      <c r="Q14" s="606"/>
      <c r="R14" s="606"/>
      <c r="S14" s="606"/>
      <c r="T14" s="606"/>
      <c r="U14" s="603"/>
      <c r="V14" s="603"/>
      <c r="W14" s="603"/>
      <c r="X14" s="603"/>
      <c r="Y14" s="603"/>
      <c r="Z14" s="603"/>
      <c r="AA14" s="603"/>
    </row>
    <row r="15" spans="1:27" s="203" customFormat="1" ht="17.25" customHeight="1">
      <c r="A15" s="202" t="s">
        <v>3</v>
      </c>
      <c r="B15" s="201" t="s">
        <v>12</v>
      </c>
      <c r="C15" s="202">
        <v>1</v>
      </c>
      <c r="D15" s="202">
        <f>C15+1</f>
        <v>2</v>
      </c>
      <c r="E15" s="202">
        <v>3</v>
      </c>
      <c r="F15" s="202">
        <v>4</v>
      </c>
      <c r="G15" s="202">
        <v>5</v>
      </c>
      <c r="H15" s="202">
        <f>G15+1</f>
        <v>6</v>
      </c>
      <c r="I15" s="202">
        <v>7</v>
      </c>
      <c r="J15" s="202">
        <v>8</v>
      </c>
      <c r="K15" s="202">
        <v>9</v>
      </c>
      <c r="L15" s="202">
        <f>K15+1</f>
        <v>10</v>
      </c>
      <c r="M15" s="202">
        <v>11</v>
      </c>
      <c r="N15" s="202">
        <v>12</v>
      </c>
      <c r="O15" s="202">
        <v>13</v>
      </c>
      <c r="P15" s="202">
        <v>14</v>
      </c>
      <c r="Q15" s="202">
        <v>15</v>
      </c>
      <c r="R15" s="202">
        <v>16</v>
      </c>
      <c r="S15" s="202">
        <v>17</v>
      </c>
      <c r="T15" s="202">
        <f>S15+1</f>
        <v>18</v>
      </c>
      <c r="U15" s="202">
        <v>19</v>
      </c>
      <c r="V15" s="202">
        <v>20</v>
      </c>
      <c r="W15" s="202">
        <v>21</v>
      </c>
      <c r="X15" s="202">
        <v>22</v>
      </c>
      <c r="Y15" s="202">
        <v>23</v>
      </c>
      <c r="Z15" s="202">
        <v>24</v>
      </c>
      <c r="AA15" s="202">
        <v>25</v>
      </c>
    </row>
    <row r="16" spans="1:27" ht="24" customHeight="1">
      <c r="A16" s="204"/>
      <c r="B16" s="205" t="s">
        <v>2</v>
      </c>
      <c r="C16" s="206">
        <f>SUM(C17:C26)</f>
        <v>505800</v>
      </c>
      <c r="D16" s="206">
        <f>SUM(D17:D26)</f>
        <v>505800</v>
      </c>
      <c r="E16" s="206">
        <f aca="true" t="shared" si="0" ref="E16:S16">SUM(E17:E26)</f>
        <v>5000</v>
      </c>
      <c r="F16" s="206">
        <f t="shared" si="0"/>
        <v>3500</v>
      </c>
      <c r="G16" s="206">
        <f t="shared" si="0"/>
        <v>0</v>
      </c>
      <c r="H16" s="206">
        <f t="shared" si="0"/>
        <v>236400</v>
      </c>
      <c r="I16" s="206">
        <f t="shared" si="0"/>
        <v>60000</v>
      </c>
      <c r="J16" s="206">
        <f t="shared" si="0"/>
        <v>1500</v>
      </c>
      <c r="K16" s="206">
        <f t="shared" si="0"/>
        <v>34000</v>
      </c>
      <c r="L16" s="206">
        <f t="shared" si="0"/>
        <v>0</v>
      </c>
      <c r="M16" s="206">
        <f t="shared" si="0"/>
        <v>20700</v>
      </c>
      <c r="N16" s="206">
        <f t="shared" si="0"/>
        <v>3250</v>
      </c>
      <c r="O16" s="206">
        <f t="shared" si="0"/>
        <v>125000</v>
      </c>
      <c r="P16" s="206">
        <f t="shared" si="0"/>
        <v>250</v>
      </c>
      <c r="Q16" s="206">
        <f t="shared" si="0"/>
        <v>300</v>
      </c>
      <c r="R16" s="206">
        <f t="shared" si="0"/>
        <v>11900</v>
      </c>
      <c r="S16" s="206">
        <f t="shared" si="0"/>
        <v>4000</v>
      </c>
      <c r="T16" s="206"/>
      <c r="U16" s="206"/>
      <c r="V16" s="206">
        <f aca="true" t="shared" si="1" ref="V16:AA16">SUM(V17:V26)</f>
        <v>0</v>
      </c>
      <c r="W16" s="206">
        <f t="shared" si="1"/>
        <v>0</v>
      </c>
      <c r="X16" s="206">
        <f t="shared" si="1"/>
        <v>0</v>
      </c>
      <c r="Y16" s="206">
        <f t="shared" si="1"/>
        <v>0</v>
      </c>
      <c r="Z16" s="206">
        <f t="shared" si="1"/>
        <v>0</v>
      </c>
      <c r="AA16" s="206">
        <f t="shared" si="1"/>
        <v>0</v>
      </c>
    </row>
    <row r="17" spans="1:27" ht="29.25" customHeight="1">
      <c r="A17" s="208">
        <v>1</v>
      </c>
      <c r="B17" s="193" t="s">
        <v>56</v>
      </c>
      <c r="C17" s="210">
        <f>D17+U17</f>
        <v>266000</v>
      </c>
      <c r="D17" s="210">
        <f>SUM(E17:T17)</f>
        <v>266000</v>
      </c>
      <c r="E17" s="210">
        <v>2500</v>
      </c>
      <c r="F17" s="210"/>
      <c r="G17" s="210"/>
      <c r="H17" s="210">
        <v>134450</v>
      </c>
      <c r="I17" s="210">
        <v>30300</v>
      </c>
      <c r="J17" s="210">
        <v>1350</v>
      </c>
      <c r="K17" s="210">
        <v>19200</v>
      </c>
      <c r="L17" s="210"/>
      <c r="M17" s="210">
        <v>9500</v>
      </c>
      <c r="N17" s="210"/>
      <c r="O17" s="210">
        <v>63000</v>
      </c>
      <c r="P17" s="210">
        <v>200</v>
      </c>
      <c r="Q17" s="210">
        <v>200</v>
      </c>
      <c r="R17" s="210">
        <v>5000</v>
      </c>
      <c r="S17" s="210">
        <v>300</v>
      </c>
      <c r="T17" s="210"/>
      <c r="U17" s="209"/>
      <c r="V17" s="210"/>
      <c r="W17" s="210"/>
      <c r="X17" s="210"/>
      <c r="Y17" s="210"/>
      <c r="Z17" s="210"/>
      <c r="AA17" s="210"/>
    </row>
    <row r="18" spans="1:27" ht="29.25" customHeight="1">
      <c r="A18" s="208">
        <f>A17+1</f>
        <v>2</v>
      </c>
      <c r="B18" s="193" t="s">
        <v>58</v>
      </c>
      <c r="C18" s="210">
        <f aca="true" t="shared" si="2" ref="C18:C26">D18+U18</f>
        <v>97000</v>
      </c>
      <c r="D18" s="210">
        <f aca="true" t="shared" si="3" ref="D18:D26">SUM(E18:T18)</f>
        <v>97000</v>
      </c>
      <c r="E18" s="210">
        <v>2500</v>
      </c>
      <c r="F18" s="210"/>
      <c r="G18" s="210"/>
      <c r="H18" s="210">
        <v>32800</v>
      </c>
      <c r="I18" s="210">
        <v>15700</v>
      </c>
      <c r="J18" s="210">
        <v>100</v>
      </c>
      <c r="K18" s="210">
        <v>7000</v>
      </c>
      <c r="L18" s="210"/>
      <c r="M18" s="210">
        <v>6000</v>
      </c>
      <c r="N18" s="210">
        <v>2500</v>
      </c>
      <c r="O18" s="210">
        <v>25000</v>
      </c>
      <c r="P18" s="210"/>
      <c r="Q18" s="210"/>
      <c r="R18" s="210">
        <v>1900</v>
      </c>
      <c r="S18" s="210">
        <v>3500</v>
      </c>
      <c r="T18" s="210"/>
      <c r="U18" s="209"/>
      <c r="V18" s="210"/>
      <c r="W18" s="210"/>
      <c r="X18" s="210"/>
      <c r="Y18" s="210"/>
      <c r="Z18" s="210"/>
      <c r="AA18" s="210"/>
    </row>
    <row r="19" spans="1:27" ht="29.25" customHeight="1">
      <c r="A19" s="208">
        <f aca="true" t="shared" si="4" ref="A19:A26">A18+1</f>
        <v>3</v>
      </c>
      <c r="B19" s="193" t="s">
        <v>62</v>
      </c>
      <c r="C19" s="210">
        <f t="shared" si="2"/>
        <v>46000</v>
      </c>
      <c r="D19" s="210">
        <f t="shared" si="3"/>
        <v>46000</v>
      </c>
      <c r="E19" s="210"/>
      <c r="F19" s="210"/>
      <c r="G19" s="210"/>
      <c r="H19" s="210">
        <v>20700</v>
      </c>
      <c r="I19" s="210">
        <v>4000</v>
      </c>
      <c r="J19" s="210">
        <v>50</v>
      </c>
      <c r="K19" s="210">
        <v>2000</v>
      </c>
      <c r="L19" s="210"/>
      <c r="M19" s="210">
        <v>950</v>
      </c>
      <c r="N19" s="210">
        <v>100</v>
      </c>
      <c r="O19" s="210">
        <v>16000</v>
      </c>
      <c r="P19" s="210"/>
      <c r="Q19" s="210"/>
      <c r="R19" s="210">
        <v>2100</v>
      </c>
      <c r="S19" s="210">
        <v>100</v>
      </c>
      <c r="T19" s="210"/>
      <c r="U19" s="209"/>
      <c r="V19" s="210"/>
      <c r="W19" s="210"/>
      <c r="X19" s="210"/>
      <c r="Y19" s="210"/>
      <c r="Z19" s="210"/>
      <c r="AA19" s="210"/>
    </row>
    <row r="20" spans="1:27" ht="29.25" customHeight="1">
      <c r="A20" s="208">
        <f t="shared" si="4"/>
        <v>4</v>
      </c>
      <c r="B20" s="193" t="s">
        <v>61</v>
      </c>
      <c r="C20" s="210">
        <f t="shared" si="2"/>
        <v>19500</v>
      </c>
      <c r="D20" s="210">
        <f t="shared" si="3"/>
        <v>19500</v>
      </c>
      <c r="E20" s="210"/>
      <c r="F20" s="210"/>
      <c r="G20" s="210"/>
      <c r="H20" s="210">
        <v>7200</v>
      </c>
      <c r="I20" s="210">
        <v>2200</v>
      </c>
      <c r="J20" s="210"/>
      <c r="K20" s="210">
        <v>1300</v>
      </c>
      <c r="L20" s="210"/>
      <c r="M20" s="210">
        <v>1050</v>
      </c>
      <c r="N20" s="210">
        <v>200</v>
      </c>
      <c r="O20" s="210">
        <v>7000</v>
      </c>
      <c r="P20" s="210">
        <v>50</v>
      </c>
      <c r="Q20" s="210"/>
      <c r="R20" s="210">
        <v>400</v>
      </c>
      <c r="S20" s="210">
        <v>100</v>
      </c>
      <c r="T20" s="210"/>
      <c r="U20" s="209"/>
      <c r="V20" s="210"/>
      <c r="W20" s="210"/>
      <c r="X20" s="210"/>
      <c r="Y20" s="210"/>
      <c r="Z20" s="210"/>
      <c r="AA20" s="210"/>
    </row>
    <row r="21" spans="1:27" ht="29.25" customHeight="1">
      <c r="A21" s="208">
        <f t="shared" si="4"/>
        <v>5</v>
      </c>
      <c r="B21" s="193" t="s">
        <v>63</v>
      </c>
      <c r="C21" s="210">
        <f t="shared" si="2"/>
        <v>14000</v>
      </c>
      <c r="D21" s="210">
        <f t="shared" si="3"/>
        <v>14000</v>
      </c>
      <c r="E21" s="210"/>
      <c r="F21" s="210"/>
      <c r="G21" s="210"/>
      <c r="H21" s="210">
        <v>9200</v>
      </c>
      <c r="I21" s="210">
        <v>1800</v>
      </c>
      <c r="J21" s="210"/>
      <c r="K21" s="210">
        <v>700</v>
      </c>
      <c r="L21" s="210"/>
      <c r="M21" s="210">
        <v>600</v>
      </c>
      <c r="N21" s="210">
        <v>50</v>
      </c>
      <c r="O21" s="210">
        <v>1000</v>
      </c>
      <c r="P21" s="210"/>
      <c r="Q21" s="210"/>
      <c r="R21" s="210">
        <v>650</v>
      </c>
      <c r="S21" s="210"/>
      <c r="T21" s="210"/>
      <c r="U21" s="209"/>
      <c r="V21" s="210"/>
      <c r="W21" s="210"/>
      <c r="X21" s="210"/>
      <c r="Y21" s="210"/>
      <c r="Z21" s="210"/>
      <c r="AA21" s="210"/>
    </row>
    <row r="22" spans="1:27" ht="29.25" customHeight="1">
      <c r="A22" s="208">
        <f t="shared" si="4"/>
        <v>6</v>
      </c>
      <c r="B22" s="193" t="s">
        <v>60</v>
      </c>
      <c r="C22" s="210">
        <f t="shared" si="2"/>
        <v>25800</v>
      </c>
      <c r="D22" s="210">
        <f t="shared" si="3"/>
        <v>25800</v>
      </c>
      <c r="E22" s="210"/>
      <c r="F22" s="210">
        <v>3500</v>
      </c>
      <c r="G22" s="210"/>
      <c r="H22" s="210">
        <v>15000</v>
      </c>
      <c r="I22" s="210">
        <v>1700</v>
      </c>
      <c r="J22" s="210"/>
      <c r="K22" s="210">
        <v>1200</v>
      </c>
      <c r="L22" s="210"/>
      <c r="M22" s="210">
        <v>800</v>
      </c>
      <c r="N22" s="210">
        <v>50</v>
      </c>
      <c r="O22" s="210">
        <v>3000</v>
      </c>
      <c r="P22" s="210"/>
      <c r="Q22" s="210">
        <v>100</v>
      </c>
      <c r="R22" s="210">
        <v>450</v>
      </c>
      <c r="S22" s="210"/>
      <c r="T22" s="210"/>
      <c r="U22" s="209"/>
      <c r="V22" s="210"/>
      <c r="W22" s="210"/>
      <c r="X22" s="210"/>
      <c r="Y22" s="210"/>
      <c r="Z22" s="210"/>
      <c r="AA22" s="210"/>
    </row>
    <row r="23" spans="1:27" ht="29.25" customHeight="1">
      <c r="A23" s="208">
        <f t="shared" si="4"/>
        <v>7</v>
      </c>
      <c r="B23" s="193" t="s">
        <v>64</v>
      </c>
      <c r="C23" s="210">
        <f t="shared" si="2"/>
        <v>12000</v>
      </c>
      <c r="D23" s="210">
        <f t="shared" si="3"/>
        <v>12000</v>
      </c>
      <c r="E23" s="210"/>
      <c r="F23" s="210"/>
      <c r="G23" s="210"/>
      <c r="H23" s="210">
        <v>4700</v>
      </c>
      <c r="I23" s="210">
        <v>1000</v>
      </c>
      <c r="J23" s="210"/>
      <c r="K23" s="210">
        <v>900</v>
      </c>
      <c r="L23" s="210"/>
      <c r="M23" s="210">
        <v>350</v>
      </c>
      <c r="N23" s="210">
        <v>50</v>
      </c>
      <c r="O23" s="210">
        <v>4500</v>
      </c>
      <c r="P23" s="210"/>
      <c r="Q23" s="210"/>
      <c r="R23" s="210">
        <v>500</v>
      </c>
      <c r="S23" s="210"/>
      <c r="T23" s="210"/>
      <c r="U23" s="209"/>
      <c r="V23" s="210"/>
      <c r="W23" s="210"/>
      <c r="X23" s="210"/>
      <c r="Y23" s="210"/>
      <c r="Z23" s="210"/>
      <c r="AA23" s="210"/>
    </row>
    <row r="24" spans="1:27" ht="29.25" customHeight="1">
      <c r="A24" s="208">
        <f t="shared" si="4"/>
        <v>8</v>
      </c>
      <c r="B24" s="193" t="s">
        <v>65</v>
      </c>
      <c r="C24" s="210">
        <f t="shared" si="2"/>
        <v>6500</v>
      </c>
      <c r="D24" s="210">
        <f t="shared" si="3"/>
        <v>6500</v>
      </c>
      <c r="E24" s="210"/>
      <c r="F24" s="210"/>
      <c r="G24" s="210"/>
      <c r="H24" s="210">
        <v>3400</v>
      </c>
      <c r="I24" s="210">
        <v>1000</v>
      </c>
      <c r="J24" s="210"/>
      <c r="K24" s="210">
        <v>600</v>
      </c>
      <c r="L24" s="210"/>
      <c r="M24" s="210">
        <v>300</v>
      </c>
      <c r="N24" s="210">
        <v>100</v>
      </c>
      <c r="O24" s="210">
        <v>1000</v>
      </c>
      <c r="P24" s="210"/>
      <c r="Q24" s="210"/>
      <c r="R24" s="210">
        <v>100</v>
      </c>
      <c r="S24" s="210"/>
      <c r="T24" s="210"/>
      <c r="U24" s="209"/>
      <c r="V24" s="210"/>
      <c r="W24" s="210"/>
      <c r="X24" s="210"/>
      <c r="Y24" s="210"/>
      <c r="Z24" s="210"/>
      <c r="AA24" s="210"/>
    </row>
    <row r="25" spans="1:27" ht="29.25" customHeight="1">
      <c r="A25" s="208">
        <f t="shared" si="4"/>
        <v>9</v>
      </c>
      <c r="B25" s="193" t="s">
        <v>57</v>
      </c>
      <c r="C25" s="210">
        <f t="shared" si="2"/>
        <v>6500</v>
      </c>
      <c r="D25" s="210">
        <f t="shared" si="3"/>
        <v>6500</v>
      </c>
      <c r="E25" s="210"/>
      <c r="F25" s="210"/>
      <c r="G25" s="210"/>
      <c r="H25" s="210">
        <v>2900</v>
      </c>
      <c r="I25" s="210">
        <v>1300</v>
      </c>
      <c r="J25" s="210"/>
      <c r="K25" s="210">
        <v>400</v>
      </c>
      <c r="L25" s="210"/>
      <c r="M25" s="210">
        <v>400</v>
      </c>
      <c r="N25" s="210"/>
      <c r="O25" s="210">
        <v>1000</v>
      </c>
      <c r="P25" s="210"/>
      <c r="Q25" s="210"/>
      <c r="R25" s="210">
        <v>500</v>
      </c>
      <c r="S25" s="210"/>
      <c r="T25" s="210"/>
      <c r="U25" s="209"/>
      <c r="V25" s="210"/>
      <c r="W25" s="210"/>
      <c r="X25" s="210"/>
      <c r="Y25" s="210"/>
      <c r="Z25" s="210"/>
      <c r="AA25" s="210"/>
    </row>
    <row r="26" spans="1:27" ht="29.25" customHeight="1">
      <c r="A26" s="208">
        <f t="shared" si="4"/>
        <v>10</v>
      </c>
      <c r="B26" s="193" t="s">
        <v>59</v>
      </c>
      <c r="C26" s="210">
        <f t="shared" si="2"/>
        <v>12500</v>
      </c>
      <c r="D26" s="210">
        <f t="shared" si="3"/>
        <v>12500</v>
      </c>
      <c r="E26" s="210"/>
      <c r="F26" s="210"/>
      <c r="G26" s="210"/>
      <c r="H26" s="210">
        <v>6050</v>
      </c>
      <c r="I26" s="210">
        <v>1000</v>
      </c>
      <c r="J26" s="210"/>
      <c r="K26" s="210">
        <v>700</v>
      </c>
      <c r="L26" s="210"/>
      <c r="M26" s="210">
        <v>750</v>
      </c>
      <c r="N26" s="210">
        <v>200</v>
      </c>
      <c r="O26" s="210">
        <v>3500</v>
      </c>
      <c r="P26" s="210"/>
      <c r="Q26" s="210"/>
      <c r="R26" s="210">
        <v>300</v>
      </c>
      <c r="S26" s="210"/>
      <c r="T26" s="210"/>
      <c r="U26" s="209"/>
      <c r="V26" s="302"/>
      <c r="W26" s="211"/>
      <c r="X26" s="211"/>
      <c r="Y26" s="211"/>
      <c r="Z26" s="211"/>
      <c r="AA26" s="211"/>
    </row>
    <row r="27" spans="1:21" ht="18.75">
      <c r="A27" s="207"/>
      <c r="B27" s="207"/>
      <c r="C27" s="207"/>
      <c r="D27" s="207"/>
      <c r="E27" s="207"/>
      <c r="F27" s="207"/>
      <c r="G27" s="207"/>
      <c r="H27" s="207"/>
      <c r="I27" s="207"/>
      <c r="J27" s="207"/>
      <c r="K27" s="207"/>
      <c r="L27" s="207"/>
      <c r="M27" s="207"/>
      <c r="N27" s="207"/>
      <c r="O27" s="200"/>
      <c r="P27" s="200"/>
      <c r="Q27" s="200"/>
      <c r="R27" s="200"/>
      <c r="S27" s="200"/>
      <c r="T27" s="200"/>
      <c r="U27" s="200"/>
    </row>
    <row r="28" spans="1:14" ht="18.75">
      <c r="A28" s="198"/>
      <c r="B28" s="198"/>
      <c r="C28" s="198"/>
      <c r="D28" s="198"/>
      <c r="E28" s="198"/>
      <c r="F28" s="198"/>
      <c r="G28" s="198"/>
      <c r="H28" s="198"/>
      <c r="I28" s="198"/>
      <c r="J28" s="198"/>
      <c r="K28" s="198"/>
      <c r="L28" s="198"/>
      <c r="M28" s="198"/>
      <c r="N28" s="198"/>
    </row>
    <row r="29" spans="1:14" ht="18.75">
      <c r="A29" s="198"/>
      <c r="B29" s="198"/>
      <c r="C29" s="198"/>
      <c r="D29" s="198"/>
      <c r="E29" s="198"/>
      <c r="F29" s="198"/>
      <c r="G29" s="198"/>
      <c r="H29" s="198"/>
      <c r="I29" s="198"/>
      <c r="J29" s="198"/>
      <c r="K29" s="198"/>
      <c r="L29" s="198"/>
      <c r="M29" s="198"/>
      <c r="N29" s="198"/>
    </row>
    <row r="30" spans="1:14" ht="18.75">
      <c r="A30" s="198"/>
      <c r="B30" s="198"/>
      <c r="C30" s="198"/>
      <c r="D30" s="198"/>
      <c r="E30" s="198"/>
      <c r="F30" s="198"/>
      <c r="G30" s="198"/>
      <c r="H30" s="198"/>
      <c r="I30" s="198"/>
      <c r="J30" s="198"/>
      <c r="K30" s="198"/>
      <c r="L30" s="198"/>
      <c r="M30" s="198"/>
      <c r="N30" s="198"/>
    </row>
    <row r="31" spans="1:14" ht="18.75">
      <c r="A31" s="198"/>
      <c r="B31" s="198"/>
      <c r="C31" s="198"/>
      <c r="D31" s="198"/>
      <c r="E31" s="198"/>
      <c r="F31" s="198"/>
      <c r="G31" s="198"/>
      <c r="H31" s="198"/>
      <c r="I31" s="198"/>
      <c r="J31" s="198"/>
      <c r="K31" s="198"/>
      <c r="L31" s="198"/>
      <c r="M31" s="198"/>
      <c r="N31" s="198"/>
    </row>
    <row r="32" spans="1:14" ht="18.75">
      <c r="A32" s="198"/>
      <c r="B32" s="198"/>
      <c r="C32" s="198"/>
      <c r="D32" s="198"/>
      <c r="E32" s="198"/>
      <c r="F32" s="198"/>
      <c r="G32" s="198"/>
      <c r="H32" s="198"/>
      <c r="I32" s="198"/>
      <c r="J32" s="198"/>
      <c r="K32" s="198"/>
      <c r="L32" s="198"/>
      <c r="M32" s="198"/>
      <c r="N32" s="198"/>
    </row>
    <row r="33" spans="1:14" ht="18.75">
      <c r="A33" s="198"/>
      <c r="B33" s="198"/>
      <c r="C33" s="198"/>
      <c r="D33" s="198"/>
      <c r="E33" s="198"/>
      <c r="F33" s="198"/>
      <c r="G33" s="198"/>
      <c r="H33" s="198"/>
      <c r="I33" s="198"/>
      <c r="J33" s="198"/>
      <c r="K33" s="198"/>
      <c r="L33" s="198"/>
      <c r="M33" s="198"/>
      <c r="N33" s="198"/>
    </row>
    <row r="34" spans="1:14" ht="18.75">
      <c r="A34" s="198"/>
      <c r="B34" s="198"/>
      <c r="C34" s="198"/>
      <c r="D34" s="198"/>
      <c r="E34" s="198"/>
      <c r="F34" s="198"/>
      <c r="G34" s="198"/>
      <c r="H34" s="198"/>
      <c r="I34" s="198"/>
      <c r="J34" s="198"/>
      <c r="K34" s="198"/>
      <c r="L34" s="198"/>
      <c r="M34" s="198"/>
      <c r="N34" s="198"/>
    </row>
    <row r="35" spans="1:14" ht="22.5" customHeight="1">
      <c r="A35" s="198"/>
      <c r="B35" s="198"/>
      <c r="C35" s="198"/>
      <c r="D35" s="198"/>
      <c r="E35" s="198"/>
      <c r="F35" s="198"/>
      <c r="G35" s="198"/>
      <c r="H35" s="198"/>
      <c r="I35" s="198"/>
      <c r="J35" s="198"/>
      <c r="K35" s="198"/>
      <c r="L35" s="198"/>
      <c r="M35" s="198"/>
      <c r="N35" s="198"/>
    </row>
    <row r="36" spans="1:14" ht="18.75">
      <c r="A36" s="198"/>
      <c r="B36" s="198"/>
      <c r="C36" s="198"/>
      <c r="D36" s="198"/>
      <c r="E36" s="198"/>
      <c r="F36" s="198"/>
      <c r="G36" s="198"/>
      <c r="H36" s="198"/>
      <c r="I36" s="198"/>
      <c r="J36" s="198"/>
      <c r="K36" s="198"/>
      <c r="L36" s="198"/>
      <c r="M36" s="198"/>
      <c r="N36" s="198"/>
    </row>
    <row r="37" spans="1:14" ht="18.75">
      <c r="A37" s="198"/>
      <c r="B37" s="198"/>
      <c r="C37" s="198"/>
      <c r="D37" s="198"/>
      <c r="E37" s="198"/>
      <c r="F37" s="198"/>
      <c r="G37" s="198"/>
      <c r="H37" s="198"/>
      <c r="I37" s="198"/>
      <c r="J37" s="198"/>
      <c r="K37" s="198"/>
      <c r="L37" s="198"/>
      <c r="M37" s="198"/>
      <c r="N37" s="198"/>
    </row>
    <row r="38" spans="1:14" ht="18.75">
      <c r="A38" s="198"/>
      <c r="B38" s="198"/>
      <c r="C38" s="198"/>
      <c r="D38" s="198"/>
      <c r="E38" s="198"/>
      <c r="F38" s="198"/>
      <c r="G38" s="198"/>
      <c r="H38" s="198"/>
      <c r="I38" s="198"/>
      <c r="J38" s="198"/>
      <c r="K38" s="198"/>
      <c r="L38" s="198"/>
      <c r="M38" s="198"/>
      <c r="N38" s="198"/>
    </row>
    <row r="39" spans="1:14" ht="18.75">
      <c r="A39" s="198"/>
      <c r="B39" s="198"/>
      <c r="C39" s="198"/>
      <c r="D39" s="198"/>
      <c r="E39" s="198"/>
      <c r="F39" s="198"/>
      <c r="G39" s="198"/>
      <c r="H39" s="198"/>
      <c r="I39" s="198"/>
      <c r="J39" s="198"/>
      <c r="K39" s="198"/>
      <c r="L39" s="198"/>
      <c r="M39" s="198"/>
      <c r="N39" s="198"/>
    </row>
  </sheetData>
  <sheetProtection/>
  <mergeCells count="37">
    <mergeCell ref="A2:AA2"/>
    <mergeCell ref="A3:AA3"/>
    <mergeCell ref="X4:AA4"/>
    <mergeCell ref="V1:AA1"/>
    <mergeCell ref="R4:U4"/>
    <mergeCell ref="O1:U1"/>
    <mergeCell ref="I1:N1"/>
    <mergeCell ref="I4:N4"/>
    <mergeCell ref="W6:W14"/>
    <mergeCell ref="X6:X14"/>
    <mergeCell ref="Y6:Y14"/>
    <mergeCell ref="A5:A14"/>
    <mergeCell ref="B5:B14"/>
    <mergeCell ref="C5:C14"/>
    <mergeCell ref="D5:D14"/>
    <mergeCell ref="E6:E14"/>
    <mergeCell ref="F6:F14"/>
    <mergeCell ref="E5:T5"/>
    <mergeCell ref="Q6:Q14"/>
    <mergeCell ref="R6:R14"/>
    <mergeCell ref="S6:S14"/>
    <mergeCell ref="J6:J14"/>
    <mergeCell ref="N6:N14"/>
    <mergeCell ref="O6:O14"/>
    <mergeCell ref="M6:M14"/>
    <mergeCell ref="K6:K14"/>
    <mergeCell ref="L6:L14"/>
    <mergeCell ref="AA6:AA14"/>
    <mergeCell ref="T6:T14"/>
    <mergeCell ref="V6:V14"/>
    <mergeCell ref="G6:G14"/>
    <mergeCell ref="H6:H14"/>
    <mergeCell ref="I6:I14"/>
    <mergeCell ref="Z6:Z14"/>
    <mergeCell ref="U5:U14"/>
    <mergeCell ref="V5:AA5"/>
    <mergeCell ref="P6:P14"/>
  </mergeCells>
  <printOptions horizontalCentered="1"/>
  <pageMargins left="0" right="0" top="0.5118110236220472" bottom="0.5118110236220472" header="0.15748031496062992" footer="0.15748031496062992"/>
  <pageSetup fitToHeight="5" horizontalDpi="600" verticalDpi="600" orientation="landscape" paperSize="9" scale="60" r:id="rId1"/>
  <headerFooter alignWithMargins="0">
    <oddFooter>&amp;C&amp;".VnTime,Italic"&amp;8
</oddFooter>
  </headerFooter>
</worksheet>
</file>

<file path=xl/worksheets/sheet7.xml><?xml version="1.0" encoding="utf-8"?>
<worksheet xmlns="http://schemas.openxmlformats.org/spreadsheetml/2006/main" xmlns:r="http://schemas.openxmlformats.org/officeDocument/2006/relationships">
  <dimension ref="A1:J133"/>
  <sheetViews>
    <sheetView view="pageBreakPreview" zoomScale="85" zoomScaleSheetLayoutView="85" zoomScalePageLayoutView="0" workbookViewId="0" topLeftCell="A1">
      <selection activeCell="B130" sqref="B130"/>
    </sheetView>
  </sheetViews>
  <sheetFormatPr defaultColWidth="8.796875" defaultRowHeight="15"/>
  <cols>
    <col min="1" max="1" width="5.09765625" style="5" customWidth="1"/>
    <col min="2" max="2" width="55.69921875" style="5" customWidth="1"/>
    <col min="3" max="3" width="11.09765625" style="84" customWidth="1"/>
    <col min="4" max="4" width="10.59765625" style="84" customWidth="1"/>
    <col min="5" max="5" width="10.59765625" style="5" customWidth="1"/>
    <col min="6" max="6" width="11.8984375" style="5" customWidth="1"/>
    <col min="7" max="7" width="9.09765625" style="5" bestFit="1" customWidth="1"/>
    <col min="8" max="8" width="11.8984375" style="5" customWidth="1"/>
    <col min="9" max="10" width="9.09765625" style="5" bestFit="1" customWidth="1"/>
    <col min="11" max="16384" width="9" style="5" customWidth="1"/>
  </cols>
  <sheetData>
    <row r="1" spans="1:5" ht="18.75" customHeight="1">
      <c r="A1" s="2"/>
      <c r="B1" s="2"/>
      <c r="C1" s="589" t="s">
        <v>369</v>
      </c>
      <c r="D1" s="589"/>
      <c r="E1" s="589"/>
    </row>
    <row r="2" spans="1:5" ht="16.5" customHeight="1">
      <c r="A2" s="2"/>
      <c r="B2" s="2"/>
      <c r="C2" s="384"/>
      <c r="D2" s="384"/>
      <c r="E2" s="215"/>
    </row>
    <row r="3" spans="1:5" ht="21" customHeight="1">
      <c r="A3" s="613" t="s">
        <v>485</v>
      </c>
      <c r="B3" s="613"/>
      <c r="C3" s="613"/>
      <c r="D3" s="613"/>
      <c r="E3" s="613"/>
    </row>
    <row r="4" spans="1:5" ht="15.75" customHeight="1">
      <c r="A4" s="613"/>
      <c r="B4" s="613"/>
      <c r="C4" s="613"/>
      <c r="D4" s="613"/>
      <c r="E4" s="613"/>
    </row>
    <row r="5" spans="1:5" ht="15.75" customHeight="1">
      <c r="A5" s="614" t="str">
        <f>'Biểu 15-NQ'!A4:G4</f>
        <v>(Kèm theo Nghị quyết số   96 /NQ-HĐND ngày  07  tháng 12 năm 2018 của HĐND tỉnh Điện Biên)</v>
      </c>
      <c r="B5" s="614"/>
      <c r="C5" s="614"/>
      <c r="D5" s="614"/>
      <c r="E5" s="614"/>
    </row>
    <row r="6" spans="1:5" ht="29.25" customHeight="1">
      <c r="A6" s="236"/>
      <c r="B6" s="236"/>
      <c r="D6" s="615" t="s">
        <v>17</v>
      </c>
      <c r="E6" s="615"/>
    </row>
    <row r="7" spans="1:5" ht="23.25" customHeight="1">
      <c r="A7" s="616" t="s">
        <v>1</v>
      </c>
      <c r="B7" s="616" t="s">
        <v>18</v>
      </c>
      <c r="C7" s="584" t="s">
        <v>348</v>
      </c>
      <c r="D7" s="617" t="s">
        <v>55</v>
      </c>
      <c r="E7" s="617"/>
    </row>
    <row r="8" spans="1:5" ht="38.25" customHeight="1">
      <c r="A8" s="616"/>
      <c r="B8" s="616"/>
      <c r="C8" s="584"/>
      <c r="D8" s="367" t="s">
        <v>370</v>
      </c>
      <c r="E8" s="216" t="s">
        <v>371</v>
      </c>
    </row>
    <row r="9" spans="1:5" s="237" customFormat="1" ht="25.5" customHeight="1">
      <c r="A9" s="67" t="s">
        <v>3</v>
      </c>
      <c r="B9" s="67" t="s">
        <v>12</v>
      </c>
      <c r="C9" s="68" t="s">
        <v>349</v>
      </c>
      <c r="D9" s="68">
        <v>2</v>
      </c>
      <c r="E9" s="67">
        <f>D9+1</f>
        <v>3</v>
      </c>
    </row>
    <row r="10" spans="1:7" ht="15.75">
      <c r="A10" s="241"/>
      <c r="B10" s="242" t="s">
        <v>372</v>
      </c>
      <c r="C10" s="244">
        <f>C11+C29</f>
        <v>9116240</v>
      </c>
      <c r="D10" s="244">
        <f>D11+D29</f>
        <v>3493350</v>
      </c>
      <c r="E10" s="244">
        <f>E11+E29</f>
        <v>5622890</v>
      </c>
      <c r="F10" s="51">
        <f>D10+E10</f>
        <v>9116240</v>
      </c>
      <c r="G10" s="51">
        <f>C10-F10</f>
        <v>0</v>
      </c>
    </row>
    <row r="11" spans="1:10" ht="15.75">
      <c r="A11" s="72" t="s">
        <v>3</v>
      </c>
      <c r="B11" s="88" t="s">
        <v>169</v>
      </c>
      <c r="C11" s="73">
        <f>C12+C20+C24+C25+C26+C27</f>
        <v>7513424</v>
      </c>
      <c r="D11" s="73">
        <f>D12+D20+D24+D25+D26+D27</f>
        <v>2855303</v>
      </c>
      <c r="E11" s="73">
        <f>E12+E20+E24+E25+E26+E27</f>
        <v>4658121</v>
      </c>
      <c r="F11" s="51">
        <f aca="true" t="shared" si="0" ref="F11:F23">D11+E11</f>
        <v>7513424</v>
      </c>
      <c r="G11" s="51">
        <f aca="true" t="shared" si="1" ref="G11:G23">C11-F11</f>
        <v>0</v>
      </c>
      <c r="J11" s="51"/>
    </row>
    <row r="12" spans="1:7" ht="15.75">
      <c r="A12" s="72" t="s">
        <v>4</v>
      </c>
      <c r="B12" s="88" t="s">
        <v>278</v>
      </c>
      <c r="C12" s="73">
        <f>SUM(C13,C18)</f>
        <v>739125</v>
      </c>
      <c r="D12" s="73">
        <f>SUM(D13,D18)</f>
        <v>643413</v>
      </c>
      <c r="E12" s="78">
        <f>SUM(E13,E18)</f>
        <v>95712</v>
      </c>
      <c r="F12" s="51">
        <f t="shared" si="0"/>
        <v>739125</v>
      </c>
      <c r="G12" s="51">
        <f t="shared" si="1"/>
        <v>0</v>
      </c>
    </row>
    <row r="13" spans="1:8" s="76" customFormat="1" ht="15.75">
      <c r="A13" s="85">
        <v>1</v>
      </c>
      <c r="B13" s="86" t="s">
        <v>265</v>
      </c>
      <c r="C13" s="80">
        <v>721080</v>
      </c>
      <c r="D13" s="80">
        <v>625368</v>
      </c>
      <c r="E13" s="75">
        <v>95712</v>
      </c>
      <c r="F13" s="51">
        <f t="shared" si="0"/>
        <v>721080</v>
      </c>
      <c r="G13" s="51">
        <f t="shared" si="1"/>
        <v>0</v>
      </c>
      <c r="H13" s="76">
        <v>92862</v>
      </c>
    </row>
    <row r="14" spans="1:7" s="76" customFormat="1" ht="15.75">
      <c r="A14" s="85"/>
      <c r="B14" s="540" t="s">
        <v>626</v>
      </c>
      <c r="C14" s="80">
        <v>601625</v>
      </c>
      <c r="D14" s="80">
        <v>582323</v>
      </c>
      <c r="E14" s="75">
        <v>19302</v>
      </c>
      <c r="F14" s="51"/>
      <c r="G14" s="51"/>
    </row>
    <row r="15" spans="1:7" s="76" customFormat="1" ht="15.75">
      <c r="A15" s="90"/>
      <c r="B15" s="541" t="s">
        <v>83</v>
      </c>
      <c r="C15" s="81">
        <v>13300</v>
      </c>
      <c r="D15" s="81">
        <v>13300</v>
      </c>
      <c r="E15" s="77"/>
      <c r="F15" s="565"/>
      <c r="G15" s="565"/>
    </row>
    <row r="16" spans="1:7" ht="15.75">
      <c r="A16" s="234"/>
      <c r="B16" s="540" t="s">
        <v>627</v>
      </c>
      <c r="C16" s="80">
        <v>94455</v>
      </c>
      <c r="D16" s="80">
        <v>18045</v>
      </c>
      <c r="E16" s="75">
        <v>76410</v>
      </c>
      <c r="F16" s="51">
        <f t="shared" si="0"/>
        <v>94455</v>
      </c>
      <c r="G16" s="51">
        <f t="shared" si="1"/>
        <v>0</v>
      </c>
    </row>
    <row r="17" spans="1:7" ht="15.75">
      <c r="A17" s="234"/>
      <c r="B17" s="540" t="s">
        <v>628</v>
      </c>
      <c r="C17" s="80">
        <v>25000</v>
      </c>
      <c r="D17" s="80">
        <v>25000</v>
      </c>
      <c r="E17" s="75"/>
      <c r="F17" s="51">
        <f t="shared" si="0"/>
        <v>25000</v>
      </c>
      <c r="G17" s="51">
        <f t="shared" si="1"/>
        <v>0</v>
      </c>
    </row>
    <row r="18" spans="1:7" ht="47.25">
      <c r="A18" s="85">
        <v>2</v>
      </c>
      <c r="B18" s="540" t="s">
        <v>86</v>
      </c>
      <c r="C18" s="80">
        <v>18045</v>
      </c>
      <c r="D18" s="80">
        <v>18045</v>
      </c>
      <c r="E18" s="75"/>
      <c r="F18" s="51">
        <f t="shared" si="0"/>
        <v>18045</v>
      </c>
      <c r="G18" s="51">
        <f t="shared" si="1"/>
        <v>0</v>
      </c>
    </row>
    <row r="19" spans="1:7" ht="15.75">
      <c r="A19" s="85"/>
      <c r="B19" s="540" t="s">
        <v>448</v>
      </c>
      <c r="C19" s="80">
        <v>18045</v>
      </c>
      <c r="D19" s="80">
        <v>18045</v>
      </c>
      <c r="E19" s="75"/>
      <c r="F19" s="51"/>
      <c r="G19" s="51"/>
    </row>
    <row r="20" spans="1:8" ht="15.75">
      <c r="A20" s="72" t="s">
        <v>10</v>
      </c>
      <c r="B20" s="542" t="s">
        <v>87</v>
      </c>
      <c r="C20" s="493">
        <v>6599001</v>
      </c>
      <c r="D20" s="493">
        <f>C20-E20</f>
        <v>2124260</v>
      </c>
      <c r="E20" s="78">
        <f>4472741+2000</f>
        <v>4474741</v>
      </c>
      <c r="F20" s="51">
        <f t="shared" si="0"/>
        <v>6599001</v>
      </c>
      <c r="G20" s="51">
        <f t="shared" si="1"/>
        <v>0</v>
      </c>
      <c r="H20" s="51" t="e">
        <f>SUM(D20,#REF!,#REF!,#REF!)</f>
        <v>#REF!</v>
      </c>
    </row>
    <row r="21" spans="1:7" ht="15.75">
      <c r="A21" s="72"/>
      <c r="B21" s="541" t="s">
        <v>291</v>
      </c>
      <c r="C21" s="81"/>
      <c r="D21" s="80"/>
      <c r="E21" s="75"/>
      <c r="F21" s="51">
        <f t="shared" si="0"/>
        <v>0</v>
      </c>
      <c r="G21" s="51">
        <f t="shared" si="1"/>
        <v>0</v>
      </c>
    </row>
    <row r="22" spans="1:7" ht="15.75">
      <c r="A22" s="85">
        <v>1</v>
      </c>
      <c r="B22" s="540" t="s">
        <v>266</v>
      </c>
      <c r="C22" s="80">
        <f>SUM(D22:E22)</f>
        <v>3290275</v>
      </c>
      <c r="D22" s="80">
        <v>577385</v>
      </c>
      <c r="E22" s="75">
        <v>2712890</v>
      </c>
      <c r="F22" s="51">
        <f t="shared" si="0"/>
        <v>3290275</v>
      </c>
      <c r="G22" s="51">
        <f t="shared" si="1"/>
        <v>0</v>
      </c>
    </row>
    <row r="23" spans="1:7" ht="15.75">
      <c r="A23" s="85">
        <f>A22+1</f>
        <v>2</v>
      </c>
      <c r="B23" s="540" t="s">
        <v>267</v>
      </c>
      <c r="C23" s="80">
        <v>13492</v>
      </c>
      <c r="D23" s="80">
        <v>10510</v>
      </c>
      <c r="E23" s="75">
        <v>2982</v>
      </c>
      <c r="F23" s="51">
        <f t="shared" si="0"/>
        <v>13492</v>
      </c>
      <c r="G23" s="51">
        <f t="shared" si="1"/>
        <v>0</v>
      </c>
    </row>
    <row r="24" spans="1:7" ht="15.75">
      <c r="A24" s="436" t="s">
        <v>14</v>
      </c>
      <c r="B24" s="543" t="s">
        <v>268</v>
      </c>
      <c r="C24" s="437">
        <v>1261</v>
      </c>
      <c r="D24" s="437">
        <v>1261</v>
      </c>
      <c r="E24" s="437"/>
      <c r="F24" s="51">
        <f>D133+E133</f>
        <v>0</v>
      </c>
      <c r="G24" s="51">
        <f>C133-F24</f>
        <v>0</v>
      </c>
    </row>
    <row r="25" spans="1:5" ht="15.75">
      <c r="A25" s="436" t="s">
        <v>15</v>
      </c>
      <c r="B25" s="543" t="s">
        <v>91</v>
      </c>
      <c r="C25" s="437">
        <f>D25+E25</f>
        <v>1000</v>
      </c>
      <c r="D25" s="437">
        <v>1000</v>
      </c>
      <c r="E25" s="437"/>
    </row>
    <row r="26" spans="1:5" ht="15.75">
      <c r="A26" s="436" t="s">
        <v>92</v>
      </c>
      <c r="B26" s="543" t="s">
        <v>93</v>
      </c>
      <c r="C26" s="437">
        <v>142913</v>
      </c>
      <c r="D26" s="437">
        <f>C26-E26</f>
        <v>55245</v>
      </c>
      <c r="E26" s="437">
        <v>87668</v>
      </c>
    </row>
    <row r="27" spans="1:5" ht="15.75">
      <c r="A27" s="436" t="s">
        <v>269</v>
      </c>
      <c r="B27" s="543" t="s">
        <v>140</v>
      </c>
      <c r="C27" s="495">
        <f>D27</f>
        <v>30124</v>
      </c>
      <c r="D27" s="495">
        <v>30124</v>
      </c>
      <c r="E27" s="437"/>
    </row>
    <row r="28" spans="1:5" ht="15.75" hidden="1">
      <c r="A28" s="436"/>
      <c r="B28" s="543"/>
      <c r="C28" s="437"/>
      <c r="D28" s="437"/>
      <c r="E28" s="437"/>
    </row>
    <row r="29" spans="1:5" ht="47.25">
      <c r="A29" s="436" t="s">
        <v>12</v>
      </c>
      <c r="B29" s="544" t="s">
        <v>490</v>
      </c>
      <c r="C29" s="437">
        <f>SUM(C30,C60,C71)</f>
        <v>1602816</v>
      </c>
      <c r="D29" s="437">
        <f>SUM(D30,D60,D71)</f>
        <v>638047</v>
      </c>
      <c r="E29" s="437">
        <f>SUM(E30,E60,E71)</f>
        <v>964769</v>
      </c>
    </row>
    <row r="30" spans="1:5" ht="15.75">
      <c r="A30" s="436" t="s">
        <v>4</v>
      </c>
      <c r="B30" s="543" t="s">
        <v>491</v>
      </c>
      <c r="C30" s="437">
        <f>C31+C54</f>
        <v>906008</v>
      </c>
      <c r="D30" s="437">
        <f>C30-E30</f>
        <v>25950</v>
      </c>
      <c r="E30" s="437">
        <f>E31+E54</f>
        <v>880058</v>
      </c>
    </row>
    <row r="31" spans="1:5" ht="15.75">
      <c r="A31" s="436">
        <v>1</v>
      </c>
      <c r="B31" s="543" t="s">
        <v>492</v>
      </c>
      <c r="C31" s="437">
        <v>590058</v>
      </c>
      <c r="D31" s="437">
        <f>D32+D36</f>
        <v>7490</v>
      </c>
      <c r="E31" s="437">
        <f>E32+E36</f>
        <v>582568</v>
      </c>
    </row>
    <row r="32" spans="1:5" ht="15.75">
      <c r="A32" s="438" t="s">
        <v>377</v>
      </c>
      <c r="B32" s="545" t="s">
        <v>374</v>
      </c>
      <c r="C32" s="439">
        <v>473123</v>
      </c>
      <c r="D32" s="439">
        <f>C32-E32</f>
        <v>0</v>
      </c>
      <c r="E32" s="439">
        <v>473123</v>
      </c>
    </row>
    <row r="33" spans="1:8" s="492" customFormat="1" ht="15.75">
      <c r="A33" s="438"/>
      <c r="B33" s="545" t="s">
        <v>629</v>
      </c>
      <c r="C33" s="531">
        <f>306468-21494</f>
        <v>284974</v>
      </c>
      <c r="D33" s="439"/>
      <c r="E33" s="439">
        <v>284974</v>
      </c>
      <c r="F33" s="490"/>
      <c r="G33" s="491"/>
      <c r="H33" s="491"/>
    </row>
    <row r="34" spans="1:8" s="492" customFormat="1" ht="15.75">
      <c r="A34" s="438"/>
      <c r="B34" s="545" t="s">
        <v>630</v>
      </c>
      <c r="C34" s="531">
        <f>76553-6813</f>
        <v>69740</v>
      </c>
      <c r="D34" s="439"/>
      <c r="E34" s="439">
        <v>69740</v>
      </c>
      <c r="F34" s="490"/>
      <c r="G34" s="491"/>
      <c r="H34" s="491"/>
    </row>
    <row r="35" spans="1:8" s="492" customFormat="1" ht="15.75">
      <c r="A35" s="438"/>
      <c r="B35" s="545" t="s">
        <v>631</v>
      </c>
      <c r="C35" s="531">
        <f>90102+28307</f>
        <v>118409</v>
      </c>
      <c r="D35" s="439"/>
      <c r="E35" s="439">
        <v>118409</v>
      </c>
      <c r="F35" s="490"/>
      <c r="G35" s="491"/>
      <c r="H35" s="491"/>
    </row>
    <row r="36" spans="1:5" ht="15.75">
      <c r="A36" s="438" t="s">
        <v>378</v>
      </c>
      <c r="B36" s="545" t="s">
        <v>375</v>
      </c>
      <c r="C36" s="439">
        <v>116935</v>
      </c>
      <c r="D36" s="439">
        <f aca="true" t="shared" si="2" ref="D36:D52">C36-E36</f>
        <v>7490</v>
      </c>
      <c r="E36" s="439">
        <v>109445</v>
      </c>
    </row>
    <row r="37" spans="1:5" ht="15.75">
      <c r="A37" s="438"/>
      <c r="B37" s="545" t="s">
        <v>632</v>
      </c>
      <c r="C37" s="439">
        <v>69592</v>
      </c>
      <c r="D37" s="439">
        <f t="shared" si="2"/>
        <v>418</v>
      </c>
      <c r="E37" s="439">
        <f>SUM(E38:E40)</f>
        <v>69174</v>
      </c>
    </row>
    <row r="38" spans="1:5" ht="31.5">
      <c r="A38" s="440"/>
      <c r="B38" s="546" t="s">
        <v>596</v>
      </c>
      <c r="C38" s="441">
        <v>11874</v>
      </c>
      <c r="D38" s="441">
        <f t="shared" si="2"/>
        <v>0</v>
      </c>
      <c r="E38" s="441">
        <v>11874</v>
      </c>
    </row>
    <row r="39" spans="1:5" ht="31.5">
      <c r="A39" s="440"/>
      <c r="B39" s="546" t="s">
        <v>506</v>
      </c>
      <c r="C39" s="441">
        <v>54290</v>
      </c>
      <c r="D39" s="441">
        <f t="shared" si="2"/>
        <v>0</v>
      </c>
      <c r="E39" s="441">
        <v>54290</v>
      </c>
    </row>
    <row r="40" spans="1:5" ht="31.5">
      <c r="A40" s="440"/>
      <c r="B40" s="546" t="s">
        <v>507</v>
      </c>
      <c r="C40" s="441">
        <v>3428</v>
      </c>
      <c r="D40" s="441">
        <f t="shared" si="2"/>
        <v>418</v>
      </c>
      <c r="E40" s="441">
        <v>3010</v>
      </c>
    </row>
    <row r="41" spans="1:5" ht="15.75">
      <c r="A41" s="438"/>
      <c r="B41" s="545" t="s">
        <v>633</v>
      </c>
      <c r="C41" s="439">
        <v>43007</v>
      </c>
      <c r="D41" s="439">
        <f t="shared" si="2"/>
        <v>4596</v>
      </c>
      <c r="E41" s="439">
        <f>SUM(E42:E43)</f>
        <v>38411</v>
      </c>
    </row>
    <row r="42" spans="1:5" ht="31.5">
      <c r="A42" s="440"/>
      <c r="B42" s="546" t="s">
        <v>508</v>
      </c>
      <c r="C42" s="441">
        <v>8444</v>
      </c>
      <c r="D42" s="441">
        <f t="shared" si="2"/>
        <v>0</v>
      </c>
      <c r="E42" s="441">
        <v>8444</v>
      </c>
    </row>
    <row r="43" spans="1:5" ht="47.25">
      <c r="A43" s="440"/>
      <c r="B43" s="546" t="s">
        <v>509</v>
      </c>
      <c r="C43" s="441">
        <f>C44+C45</f>
        <v>29967</v>
      </c>
      <c r="D43" s="441">
        <f t="shared" si="2"/>
        <v>0</v>
      </c>
      <c r="E43" s="441">
        <v>29967</v>
      </c>
    </row>
    <row r="44" spans="1:5" ht="15.75">
      <c r="A44" s="438"/>
      <c r="B44" s="545" t="s">
        <v>510</v>
      </c>
      <c r="C44" s="439">
        <v>23974</v>
      </c>
      <c r="D44" s="439">
        <f t="shared" si="2"/>
        <v>0</v>
      </c>
      <c r="E44" s="439">
        <v>23974</v>
      </c>
    </row>
    <row r="45" spans="1:5" ht="15.75">
      <c r="A45" s="438"/>
      <c r="B45" s="545" t="s">
        <v>511</v>
      </c>
      <c r="C45" s="439">
        <v>5993</v>
      </c>
      <c r="D45" s="439">
        <f t="shared" si="2"/>
        <v>0</v>
      </c>
      <c r="E45" s="439">
        <v>5993</v>
      </c>
    </row>
    <row r="46" spans="1:5" ht="31.5">
      <c r="A46" s="440"/>
      <c r="B46" s="546" t="s">
        <v>512</v>
      </c>
      <c r="C46" s="441">
        <v>4596</v>
      </c>
      <c r="D46" s="441">
        <f t="shared" si="2"/>
        <v>4596</v>
      </c>
      <c r="E46" s="441"/>
    </row>
    <row r="47" spans="1:5" ht="47.25">
      <c r="A47" s="438"/>
      <c r="B47" s="545" t="s">
        <v>634</v>
      </c>
      <c r="C47" s="439">
        <f>C48+C49</f>
        <v>214</v>
      </c>
      <c r="D47" s="439">
        <f t="shared" si="2"/>
        <v>0</v>
      </c>
      <c r="E47" s="439">
        <v>214</v>
      </c>
    </row>
    <row r="48" spans="1:5" ht="15.75">
      <c r="A48" s="440"/>
      <c r="B48" s="546" t="s">
        <v>513</v>
      </c>
      <c r="C48" s="441">
        <v>86</v>
      </c>
      <c r="D48" s="441">
        <f t="shared" si="2"/>
        <v>0</v>
      </c>
      <c r="E48" s="441">
        <v>86</v>
      </c>
    </row>
    <row r="49" spans="1:5" ht="15.75">
      <c r="A49" s="440"/>
      <c r="B49" s="546" t="s">
        <v>514</v>
      </c>
      <c r="C49" s="441">
        <v>128</v>
      </c>
      <c r="D49" s="441">
        <f t="shared" si="2"/>
        <v>0</v>
      </c>
      <c r="E49" s="441">
        <v>128</v>
      </c>
    </row>
    <row r="50" spans="1:5" ht="15.75">
      <c r="A50" s="438"/>
      <c r="B50" s="545" t="s">
        <v>635</v>
      </c>
      <c r="C50" s="439">
        <f>C51+C52</f>
        <v>3032</v>
      </c>
      <c r="D50" s="439">
        <f t="shared" si="2"/>
        <v>2252</v>
      </c>
      <c r="E50" s="439">
        <v>780</v>
      </c>
    </row>
    <row r="51" spans="1:5" ht="15.75">
      <c r="A51" s="440"/>
      <c r="B51" s="546" t="s">
        <v>515</v>
      </c>
      <c r="C51" s="441">
        <v>412</v>
      </c>
      <c r="D51" s="441">
        <f t="shared" si="2"/>
        <v>152</v>
      </c>
      <c r="E51" s="441">
        <v>260</v>
      </c>
    </row>
    <row r="52" spans="1:5" ht="15.75">
      <c r="A52" s="440"/>
      <c r="B52" s="546" t="s">
        <v>516</v>
      </c>
      <c r="C52" s="441">
        <v>2620</v>
      </c>
      <c r="D52" s="441">
        <f t="shared" si="2"/>
        <v>2100</v>
      </c>
      <c r="E52" s="441">
        <v>520</v>
      </c>
    </row>
    <row r="53" spans="1:5" ht="31.5">
      <c r="A53" s="438"/>
      <c r="B53" s="545" t="s">
        <v>636</v>
      </c>
      <c r="C53" s="439">
        <v>1090</v>
      </c>
      <c r="D53" s="439">
        <f>C53-E53</f>
        <v>224</v>
      </c>
      <c r="E53" s="439">
        <v>866</v>
      </c>
    </row>
    <row r="54" spans="1:5" ht="15.75">
      <c r="A54" s="436">
        <v>2</v>
      </c>
      <c r="B54" s="543" t="s">
        <v>493</v>
      </c>
      <c r="C54" s="437">
        <f>C55+C56</f>
        <v>315950</v>
      </c>
      <c r="D54" s="437">
        <f>D55+D56</f>
        <v>18460</v>
      </c>
      <c r="E54" s="437">
        <f>E55+E56</f>
        <v>297490</v>
      </c>
    </row>
    <row r="55" spans="1:5" ht="15.75">
      <c r="A55" s="438" t="s">
        <v>110</v>
      </c>
      <c r="B55" s="545" t="s">
        <v>374</v>
      </c>
      <c r="C55" s="439">
        <v>239650</v>
      </c>
      <c r="D55" s="439">
        <f>C55-E55</f>
        <v>0</v>
      </c>
      <c r="E55" s="439">
        <v>239650</v>
      </c>
    </row>
    <row r="56" spans="1:5" ht="15.75">
      <c r="A56" s="438" t="s">
        <v>112</v>
      </c>
      <c r="B56" s="545" t="s">
        <v>375</v>
      </c>
      <c r="C56" s="439">
        <v>76300</v>
      </c>
      <c r="D56" s="439">
        <f>C56-E56</f>
        <v>18460</v>
      </c>
      <c r="E56" s="439">
        <f>E57+E58+E59</f>
        <v>57840</v>
      </c>
    </row>
    <row r="57" spans="1:5" s="76" customFormat="1" ht="15.75" hidden="1">
      <c r="A57" s="440"/>
      <c r="B57" s="546" t="s">
        <v>517</v>
      </c>
      <c r="C57" s="441"/>
      <c r="D57" s="441"/>
      <c r="E57" s="441">
        <v>51680</v>
      </c>
    </row>
    <row r="58" spans="1:5" s="76" customFormat="1" ht="15.75" hidden="1">
      <c r="A58" s="440"/>
      <c r="B58" s="546" t="s">
        <v>518</v>
      </c>
      <c r="C58" s="441"/>
      <c r="D58" s="441"/>
      <c r="E58" s="441">
        <v>4000</v>
      </c>
    </row>
    <row r="59" spans="1:5" s="76" customFormat="1" ht="15.75" hidden="1">
      <c r="A59" s="440"/>
      <c r="B59" s="546" t="s">
        <v>434</v>
      </c>
      <c r="C59" s="441"/>
      <c r="D59" s="441"/>
      <c r="E59" s="441">
        <v>2160</v>
      </c>
    </row>
    <row r="60" spans="1:5" ht="31.5">
      <c r="A60" s="436" t="s">
        <v>10</v>
      </c>
      <c r="B60" s="543" t="s">
        <v>494</v>
      </c>
      <c r="C60" s="437">
        <f>SUM(C61,C62)</f>
        <v>478004</v>
      </c>
      <c r="D60" s="437">
        <f>SUM(D61,D62)</f>
        <v>450960</v>
      </c>
      <c r="E60" s="437">
        <f>SUM(E61,E62)</f>
        <v>27044</v>
      </c>
    </row>
    <row r="61" spans="1:5" ht="15.75">
      <c r="A61" s="436">
        <v>1</v>
      </c>
      <c r="B61" s="543" t="s">
        <v>495</v>
      </c>
      <c r="C61" s="437">
        <v>155254</v>
      </c>
      <c r="D61" s="437">
        <v>155254</v>
      </c>
      <c r="E61" s="442"/>
    </row>
    <row r="62" spans="1:5" ht="31.5">
      <c r="A62" s="436">
        <v>2</v>
      </c>
      <c r="B62" s="543" t="s">
        <v>496</v>
      </c>
      <c r="C62" s="437">
        <f>C63+C70</f>
        <v>322750</v>
      </c>
      <c r="D62" s="437">
        <f>D63+D70</f>
        <v>295706</v>
      </c>
      <c r="E62" s="437">
        <f>E63+E70</f>
        <v>27044</v>
      </c>
    </row>
    <row r="63" spans="1:5" ht="15.75">
      <c r="A63" s="438" t="s">
        <v>110</v>
      </c>
      <c r="B63" s="545" t="s">
        <v>111</v>
      </c>
      <c r="C63" s="439">
        <f>SUM(C64:C69)</f>
        <v>262360</v>
      </c>
      <c r="D63" s="439">
        <f>SUM(D64:D69)</f>
        <v>235316</v>
      </c>
      <c r="E63" s="439">
        <f>SUM(E64:E69)</f>
        <v>27044</v>
      </c>
    </row>
    <row r="64" spans="1:5" ht="15.75">
      <c r="A64" s="438"/>
      <c r="B64" s="545" t="s">
        <v>620</v>
      </c>
      <c r="C64" s="439">
        <v>137630</v>
      </c>
      <c r="D64" s="439">
        <v>137630</v>
      </c>
      <c r="E64" s="443"/>
    </row>
    <row r="65" spans="1:5" ht="15.75">
      <c r="A65" s="438"/>
      <c r="B65" s="545" t="s">
        <v>621</v>
      </c>
      <c r="C65" s="439">
        <v>46877</v>
      </c>
      <c r="D65" s="439">
        <v>46877</v>
      </c>
      <c r="E65" s="443"/>
    </row>
    <row r="66" spans="1:5" ht="15.75">
      <c r="A66" s="438"/>
      <c r="B66" s="545" t="s">
        <v>622</v>
      </c>
      <c r="C66" s="439">
        <v>12743</v>
      </c>
      <c r="D66" s="439">
        <v>12743</v>
      </c>
      <c r="E66" s="443"/>
    </row>
    <row r="67" spans="1:5" ht="36" customHeight="1">
      <c r="A67" s="438"/>
      <c r="B67" s="545" t="s">
        <v>623</v>
      </c>
      <c r="C67" s="439">
        <v>27044</v>
      </c>
      <c r="D67" s="439"/>
      <c r="E67" s="439">
        <v>27044</v>
      </c>
    </row>
    <row r="68" spans="1:5" ht="15.75">
      <c r="A68" s="438"/>
      <c r="B68" s="545" t="s">
        <v>624</v>
      </c>
      <c r="C68" s="439">
        <v>18580</v>
      </c>
      <c r="D68" s="439">
        <v>18580</v>
      </c>
      <c r="E68" s="443"/>
    </row>
    <row r="69" spans="1:5" ht="37.5" customHeight="1">
      <c r="A69" s="438"/>
      <c r="B69" s="545" t="s">
        <v>625</v>
      </c>
      <c r="C69" s="439">
        <v>19486</v>
      </c>
      <c r="D69" s="439">
        <v>19486</v>
      </c>
      <c r="E69" s="443"/>
    </row>
    <row r="70" spans="1:5" ht="15.75">
      <c r="A70" s="438" t="s">
        <v>112</v>
      </c>
      <c r="B70" s="545" t="s">
        <v>307</v>
      </c>
      <c r="C70" s="439">
        <v>60390</v>
      </c>
      <c r="D70" s="439">
        <v>60390</v>
      </c>
      <c r="E70" s="443"/>
    </row>
    <row r="71" spans="1:5" ht="31.5">
      <c r="A71" s="436" t="s">
        <v>14</v>
      </c>
      <c r="B71" s="543" t="s">
        <v>498</v>
      </c>
      <c r="C71" s="437">
        <f>C72+C81</f>
        <v>218804</v>
      </c>
      <c r="D71" s="437">
        <f>D72+D81</f>
        <v>161137</v>
      </c>
      <c r="E71" s="437">
        <f>E72+E81</f>
        <v>57667</v>
      </c>
    </row>
    <row r="72" spans="1:5" ht="15.75">
      <c r="A72" s="438">
        <v>1</v>
      </c>
      <c r="B72" s="545" t="s">
        <v>499</v>
      </c>
      <c r="C72" s="439">
        <f>C73+C77</f>
        <v>55707</v>
      </c>
      <c r="D72" s="439">
        <f>D73+D77</f>
        <v>20545</v>
      </c>
      <c r="E72" s="439">
        <f>E77</f>
        <v>35162</v>
      </c>
    </row>
    <row r="73" spans="1:5" ht="15.75">
      <c r="A73" s="438"/>
      <c r="B73" s="545" t="s">
        <v>597</v>
      </c>
      <c r="C73" s="439">
        <f>C74+C75+C76</f>
        <v>7969</v>
      </c>
      <c r="D73" s="439">
        <f>D74+D75+D76</f>
        <v>7969</v>
      </c>
      <c r="E73" s="439">
        <f>E74+E75+E76</f>
        <v>0</v>
      </c>
    </row>
    <row r="74" spans="1:5" ht="31.5">
      <c r="A74" s="440"/>
      <c r="B74" s="546" t="s">
        <v>459</v>
      </c>
      <c r="C74" s="441">
        <v>4230</v>
      </c>
      <c r="D74" s="441">
        <v>4230</v>
      </c>
      <c r="E74" s="494"/>
    </row>
    <row r="75" spans="1:5" ht="15.75">
      <c r="A75" s="440"/>
      <c r="B75" s="546" t="s">
        <v>460</v>
      </c>
      <c r="C75" s="441">
        <v>539</v>
      </c>
      <c r="D75" s="441">
        <v>539</v>
      </c>
      <c r="E75" s="494"/>
    </row>
    <row r="76" spans="1:5" ht="31.5">
      <c r="A76" s="440"/>
      <c r="B76" s="546" t="s">
        <v>462</v>
      </c>
      <c r="C76" s="441">
        <v>3200</v>
      </c>
      <c r="D76" s="441">
        <v>3200</v>
      </c>
      <c r="E76" s="494"/>
    </row>
    <row r="77" spans="1:5" ht="15.75">
      <c r="A77" s="438"/>
      <c r="B77" s="545" t="s">
        <v>480</v>
      </c>
      <c r="C77" s="439">
        <f>C78+C79+C80</f>
        <v>47738</v>
      </c>
      <c r="D77" s="439">
        <f>D78+D79+D80</f>
        <v>12576</v>
      </c>
      <c r="E77" s="439">
        <f>E78+E79+E80</f>
        <v>35162</v>
      </c>
    </row>
    <row r="78" spans="1:5" ht="31.5">
      <c r="A78" s="440"/>
      <c r="B78" s="546" t="s">
        <v>459</v>
      </c>
      <c r="C78" s="441">
        <v>2576</v>
      </c>
      <c r="D78" s="441">
        <v>2576</v>
      </c>
      <c r="E78" s="494"/>
    </row>
    <row r="79" spans="1:5" ht="15.75">
      <c r="A79" s="440"/>
      <c r="B79" s="546" t="s">
        <v>598</v>
      </c>
      <c r="C79" s="441">
        <v>10000</v>
      </c>
      <c r="D79" s="441">
        <v>10000</v>
      </c>
      <c r="E79" s="494"/>
    </row>
    <row r="80" spans="1:5" ht="15.75">
      <c r="A80" s="440"/>
      <c r="B80" s="546" t="s">
        <v>466</v>
      </c>
      <c r="C80" s="441">
        <v>35162</v>
      </c>
      <c r="D80" s="441"/>
      <c r="E80" s="494">
        <v>35162</v>
      </c>
    </row>
    <row r="81" spans="1:5" ht="15.75">
      <c r="A81" s="438">
        <v>2</v>
      </c>
      <c r="B81" s="545" t="s">
        <v>481</v>
      </c>
      <c r="C81" s="439">
        <f>SUM(C82,C85,C86,C87,C90,C91,C92,C99,C100,C114,C115,C123,C124,C130,C131,C132,C89,C88)</f>
        <v>163097</v>
      </c>
      <c r="D81" s="439">
        <f>SUM(D82,D85,D86,D87,D90,D91,D92,D99,D100,D114,D115,D123,D124,D130,D131,D132,D89,D88)</f>
        <v>140592</v>
      </c>
      <c r="E81" s="439">
        <f>SUM(E82,E85,E86,E87,E90,E91,E92,E99,E100,E114,E115,E123,E124,E130,E131,E132,E89,E88)</f>
        <v>22505</v>
      </c>
    </row>
    <row r="82" spans="1:5" ht="15.75">
      <c r="A82" s="438" t="s">
        <v>110</v>
      </c>
      <c r="B82" s="545" t="s">
        <v>117</v>
      </c>
      <c r="C82" s="439">
        <v>580</v>
      </c>
      <c r="D82" s="439">
        <v>580</v>
      </c>
      <c r="E82" s="439"/>
    </row>
    <row r="83" spans="1:5" s="76" customFormat="1" ht="15.75">
      <c r="A83" s="440"/>
      <c r="B83" s="546" t="s">
        <v>500</v>
      </c>
      <c r="C83" s="441">
        <v>485</v>
      </c>
      <c r="D83" s="441">
        <v>485</v>
      </c>
      <c r="E83" s="441"/>
    </row>
    <row r="84" spans="1:5" s="76" customFormat="1" ht="15.75">
      <c r="A84" s="440"/>
      <c r="B84" s="546" t="s">
        <v>501</v>
      </c>
      <c r="C84" s="441">
        <v>95</v>
      </c>
      <c r="D84" s="441">
        <v>95</v>
      </c>
      <c r="E84" s="441"/>
    </row>
    <row r="85" spans="1:5" ht="31.5">
      <c r="A85" s="438" t="s">
        <v>112</v>
      </c>
      <c r="B85" s="545" t="s">
        <v>116</v>
      </c>
      <c r="C85" s="439">
        <v>3427</v>
      </c>
      <c r="D85" s="439">
        <v>3427</v>
      </c>
      <c r="E85" s="439"/>
    </row>
    <row r="86" spans="1:5" ht="15.75">
      <c r="A86" s="438" t="s">
        <v>497</v>
      </c>
      <c r="B86" s="545" t="s">
        <v>520</v>
      </c>
      <c r="C86" s="439">
        <v>315</v>
      </c>
      <c r="D86" s="439">
        <v>315</v>
      </c>
      <c r="E86" s="439"/>
    </row>
    <row r="87" spans="1:5" ht="31.5">
      <c r="A87" s="438" t="s">
        <v>519</v>
      </c>
      <c r="B87" s="545" t="s">
        <v>114</v>
      </c>
      <c r="C87" s="439">
        <f>52904-1294-1610</f>
        <v>50000</v>
      </c>
      <c r="D87" s="439">
        <v>50000</v>
      </c>
      <c r="E87" s="439"/>
    </row>
    <row r="88" spans="1:5" ht="47.25">
      <c r="A88" s="438" t="s">
        <v>584</v>
      </c>
      <c r="B88" s="545" t="s">
        <v>595</v>
      </c>
      <c r="C88" s="439">
        <v>1294</v>
      </c>
      <c r="D88" s="439">
        <f>C88-E88</f>
        <v>1294</v>
      </c>
      <c r="E88" s="439"/>
    </row>
    <row r="89" spans="1:5" ht="15.75">
      <c r="A89" s="438" t="s">
        <v>521</v>
      </c>
      <c r="B89" s="545" t="s">
        <v>115</v>
      </c>
      <c r="C89" s="439">
        <v>1610</v>
      </c>
      <c r="D89" s="439">
        <v>1610</v>
      </c>
      <c r="E89" s="439"/>
    </row>
    <row r="90" spans="1:5" ht="31.5">
      <c r="A90" s="438" t="s">
        <v>522</v>
      </c>
      <c r="B90" s="545" t="s">
        <v>614</v>
      </c>
      <c r="C90" s="439">
        <v>2600</v>
      </c>
      <c r="D90" s="439">
        <v>2600</v>
      </c>
      <c r="E90" s="439"/>
    </row>
    <row r="91" spans="1:5" ht="15.75">
      <c r="A91" s="438" t="s">
        <v>523</v>
      </c>
      <c r="B91" s="545" t="s">
        <v>130</v>
      </c>
      <c r="C91" s="439">
        <v>3225</v>
      </c>
      <c r="D91" s="439">
        <f>C91-E91</f>
        <v>2903</v>
      </c>
      <c r="E91" s="439">
        <v>322</v>
      </c>
    </row>
    <row r="92" spans="1:5" ht="15.75">
      <c r="A92" s="438" t="s">
        <v>524</v>
      </c>
      <c r="B92" s="545" t="s">
        <v>118</v>
      </c>
      <c r="C92" s="439">
        <v>9760</v>
      </c>
      <c r="D92" s="439">
        <f>C92-E92</f>
        <v>9570</v>
      </c>
      <c r="E92" s="439">
        <v>190</v>
      </c>
    </row>
    <row r="93" spans="1:5" ht="15.75">
      <c r="A93" s="438"/>
      <c r="B93" s="545" t="s">
        <v>119</v>
      </c>
      <c r="C93" s="439">
        <v>9000</v>
      </c>
      <c r="D93" s="439">
        <v>9000</v>
      </c>
      <c r="E93" s="439"/>
    </row>
    <row r="94" spans="1:5" ht="15.75">
      <c r="A94" s="438"/>
      <c r="B94" s="545" t="s">
        <v>426</v>
      </c>
      <c r="C94" s="439">
        <v>350</v>
      </c>
      <c r="D94" s="439">
        <f>C94-E94</f>
        <v>160</v>
      </c>
      <c r="E94" s="439">
        <v>190</v>
      </c>
    </row>
    <row r="95" spans="1:5" s="76" customFormat="1" ht="15.75" hidden="1">
      <c r="A95" s="440"/>
      <c r="B95" s="546" t="s">
        <v>527</v>
      </c>
      <c r="C95" s="441">
        <v>350</v>
      </c>
      <c r="D95" s="441">
        <v>350</v>
      </c>
      <c r="E95" s="441"/>
    </row>
    <row r="96" spans="1:5" ht="15.75">
      <c r="A96" s="438"/>
      <c r="B96" s="545" t="s">
        <v>120</v>
      </c>
      <c r="C96" s="439">
        <v>410</v>
      </c>
      <c r="D96" s="439">
        <v>410</v>
      </c>
      <c r="E96" s="439"/>
    </row>
    <row r="97" spans="1:5" s="76" customFormat="1" ht="31.5" hidden="1">
      <c r="A97" s="440"/>
      <c r="B97" s="546" t="s">
        <v>528</v>
      </c>
      <c r="C97" s="441">
        <v>180</v>
      </c>
      <c r="D97" s="441">
        <v>180</v>
      </c>
      <c r="E97" s="441"/>
    </row>
    <row r="98" spans="1:5" s="76" customFormat="1" ht="31.5" hidden="1">
      <c r="A98" s="440"/>
      <c r="B98" s="546" t="s">
        <v>529</v>
      </c>
      <c r="C98" s="441">
        <v>230</v>
      </c>
      <c r="D98" s="441">
        <v>230</v>
      </c>
      <c r="E98" s="441"/>
    </row>
    <row r="99" spans="1:5" ht="15.75">
      <c r="A99" s="438" t="s">
        <v>525</v>
      </c>
      <c r="B99" s="545" t="s">
        <v>476</v>
      </c>
      <c r="C99" s="439">
        <v>47200</v>
      </c>
      <c r="D99" s="439">
        <v>47200</v>
      </c>
      <c r="E99" s="439"/>
    </row>
    <row r="100" spans="1:5" ht="15.75">
      <c r="A100" s="438" t="s">
        <v>526</v>
      </c>
      <c r="B100" s="545" t="s">
        <v>532</v>
      </c>
      <c r="C100" s="439">
        <v>2413</v>
      </c>
      <c r="D100" s="439">
        <f>C100-E100</f>
        <v>1713</v>
      </c>
      <c r="E100" s="439">
        <v>700</v>
      </c>
    </row>
    <row r="101" spans="1:5" ht="15.75">
      <c r="A101" s="438"/>
      <c r="B101" s="545" t="s">
        <v>427</v>
      </c>
      <c r="C101" s="439">
        <v>930</v>
      </c>
      <c r="D101" s="439">
        <f>C101-E101</f>
        <v>350</v>
      </c>
      <c r="E101" s="439">
        <v>580</v>
      </c>
    </row>
    <row r="102" spans="1:5" s="76" customFormat="1" ht="15.75" hidden="1">
      <c r="A102" s="440"/>
      <c r="B102" s="546" t="s">
        <v>533</v>
      </c>
      <c r="C102" s="441">
        <v>30</v>
      </c>
      <c r="D102" s="441">
        <v>30</v>
      </c>
      <c r="E102" s="441"/>
    </row>
    <row r="103" spans="1:5" s="76" customFormat="1" ht="31.5" hidden="1">
      <c r="A103" s="440"/>
      <c r="B103" s="546" t="s">
        <v>534</v>
      </c>
      <c r="C103" s="441">
        <v>100</v>
      </c>
      <c r="D103" s="441">
        <v>100</v>
      </c>
      <c r="E103" s="441"/>
    </row>
    <row r="104" spans="1:5" s="76" customFormat="1" ht="15.75" hidden="1">
      <c r="A104" s="440"/>
      <c r="B104" s="546" t="s">
        <v>535</v>
      </c>
      <c r="C104" s="441">
        <v>320</v>
      </c>
      <c r="D104" s="441">
        <v>320</v>
      </c>
      <c r="E104" s="441"/>
    </row>
    <row r="105" spans="1:5" s="76" customFormat="1" ht="15.75" hidden="1">
      <c r="A105" s="440"/>
      <c r="B105" s="546" t="s">
        <v>536</v>
      </c>
      <c r="C105" s="441">
        <v>480</v>
      </c>
      <c r="D105" s="441">
        <v>480</v>
      </c>
      <c r="E105" s="441"/>
    </row>
    <row r="106" spans="1:5" ht="15.75">
      <c r="A106" s="438"/>
      <c r="B106" s="545" t="s">
        <v>121</v>
      </c>
      <c r="C106" s="439">
        <v>583</v>
      </c>
      <c r="D106" s="439">
        <f>C106-E106</f>
        <v>463</v>
      </c>
      <c r="E106" s="439">
        <v>120</v>
      </c>
    </row>
    <row r="107" spans="1:5" s="76" customFormat="1" ht="15.75" hidden="1">
      <c r="A107" s="440"/>
      <c r="B107" s="546" t="s">
        <v>537</v>
      </c>
      <c r="C107" s="441">
        <v>130</v>
      </c>
      <c r="D107" s="441">
        <v>130</v>
      </c>
      <c r="E107" s="441"/>
    </row>
    <row r="108" spans="1:5" s="76" customFormat="1" ht="15.75" hidden="1">
      <c r="A108" s="440"/>
      <c r="B108" s="546" t="s">
        <v>538</v>
      </c>
      <c r="C108" s="441">
        <v>250</v>
      </c>
      <c r="D108" s="441">
        <v>250</v>
      </c>
      <c r="E108" s="441"/>
    </row>
    <row r="109" spans="1:5" s="76" customFormat="1" ht="15.75" hidden="1">
      <c r="A109" s="440"/>
      <c r="B109" s="546" t="s">
        <v>539</v>
      </c>
      <c r="C109" s="441">
        <v>50</v>
      </c>
      <c r="D109" s="441">
        <v>50</v>
      </c>
      <c r="E109" s="441"/>
    </row>
    <row r="110" spans="1:5" ht="31.5">
      <c r="A110" s="438"/>
      <c r="B110" s="545" t="s">
        <v>122</v>
      </c>
      <c r="C110" s="439">
        <v>900</v>
      </c>
      <c r="D110" s="439">
        <v>900</v>
      </c>
      <c r="E110" s="439"/>
    </row>
    <row r="111" spans="1:5" s="76" customFormat="1" ht="15.75" hidden="1">
      <c r="A111" s="440"/>
      <c r="B111" s="546" t="s">
        <v>540</v>
      </c>
      <c r="C111" s="441">
        <v>200</v>
      </c>
      <c r="D111" s="441">
        <v>200</v>
      </c>
      <c r="E111" s="441"/>
    </row>
    <row r="112" spans="1:5" s="76" customFormat="1" ht="15.75" hidden="1">
      <c r="A112" s="440"/>
      <c r="B112" s="546" t="s">
        <v>541</v>
      </c>
      <c r="C112" s="441">
        <v>500</v>
      </c>
      <c r="D112" s="441">
        <v>500</v>
      </c>
      <c r="E112" s="441"/>
    </row>
    <row r="113" spans="1:5" s="76" customFormat="1" ht="15.75" hidden="1">
      <c r="A113" s="440"/>
      <c r="B113" s="546" t="s">
        <v>542</v>
      </c>
      <c r="C113" s="441">
        <v>200</v>
      </c>
      <c r="D113" s="441">
        <v>200</v>
      </c>
      <c r="E113" s="441"/>
    </row>
    <row r="114" spans="1:5" ht="15.75">
      <c r="A114" s="438" t="s">
        <v>530</v>
      </c>
      <c r="B114" s="545" t="s">
        <v>544</v>
      </c>
      <c r="C114" s="439">
        <v>7890</v>
      </c>
      <c r="D114" s="439">
        <v>7890</v>
      </c>
      <c r="E114" s="439"/>
    </row>
    <row r="115" spans="1:5" ht="31.5">
      <c r="A115" s="438" t="s">
        <v>531</v>
      </c>
      <c r="B115" s="545" t="s">
        <v>428</v>
      </c>
      <c r="C115" s="439">
        <v>3450</v>
      </c>
      <c r="D115" s="439">
        <f>C115-E115</f>
        <v>2180</v>
      </c>
      <c r="E115" s="439">
        <f>E116+E119</f>
        <v>1270</v>
      </c>
    </row>
    <row r="116" spans="1:5" ht="15.75">
      <c r="A116" s="438"/>
      <c r="B116" s="545" t="s">
        <v>127</v>
      </c>
      <c r="C116" s="439">
        <v>600</v>
      </c>
      <c r="D116" s="439">
        <f>C116-E116</f>
        <v>420</v>
      </c>
      <c r="E116" s="439">
        <v>180</v>
      </c>
    </row>
    <row r="117" spans="1:5" s="76" customFormat="1" ht="31.5" hidden="1">
      <c r="A117" s="440"/>
      <c r="B117" s="546" t="s">
        <v>546</v>
      </c>
      <c r="C117" s="441">
        <v>240</v>
      </c>
      <c r="D117" s="441">
        <v>240</v>
      </c>
      <c r="E117" s="441"/>
    </row>
    <row r="118" spans="1:5" s="76" customFormat="1" ht="47.25" hidden="1">
      <c r="A118" s="440"/>
      <c r="B118" s="546" t="s">
        <v>547</v>
      </c>
      <c r="C118" s="441">
        <v>360</v>
      </c>
      <c r="D118" s="441">
        <v>360</v>
      </c>
      <c r="E118" s="441"/>
    </row>
    <row r="119" spans="1:5" ht="15.75">
      <c r="A119" s="438"/>
      <c r="B119" s="545" t="s">
        <v>128</v>
      </c>
      <c r="C119" s="439">
        <v>2850</v>
      </c>
      <c r="D119" s="439">
        <f>C119-E119</f>
        <v>1760</v>
      </c>
      <c r="E119" s="439">
        <v>1090</v>
      </c>
    </row>
    <row r="120" spans="1:5" s="76" customFormat="1" ht="47.25" hidden="1">
      <c r="A120" s="440"/>
      <c r="B120" s="546" t="s">
        <v>548</v>
      </c>
      <c r="C120" s="441">
        <v>200</v>
      </c>
      <c r="D120" s="441">
        <v>200</v>
      </c>
      <c r="E120" s="441"/>
    </row>
    <row r="121" spans="1:5" s="76" customFormat="1" ht="47.25" hidden="1">
      <c r="A121" s="440"/>
      <c r="B121" s="546" t="s">
        <v>549</v>
      </c>
      <c r="C121" s="441">
        <v>150</v>
      </c>
      <c r="D121" s="441">
        <v>150</v>
      </c>
      <c r="E121" s="441"/>
    </row>
    <row r="122" spans="1:5" s="76" customFormat="1" ht="31.5" hidden="1">
      <c r="A122" s="440"/>
      <c r="B122" s="546" t="s">
        <v>550</v>
      </c>
      <c r="C122" s="441">
        <v>2500</v>
      </c>
      <c r="D122" s="441">
        <v>2500</v>
      </c>
      <c r="E122" s="441"/>
    </row>
    <row r="123" spans="1:5" ht="15.75">
      <c r="A123" s="438" t="s">
        <v>543</v>
      </c>
      <c r="B123" s="545" t="s">
        <v>129</v>
      </c>
      <c r="C123" s="439">
        <v>24800</v>
      </c>
      <c r="D123" s="439">
        <f>C123-E123</f>
        <v>6757</v>
      </c>
      <c r="E123" s="439">
        <v>18043</v>
      </c>
    </row>
    <row r="124" spans="1:5" ht="15.75">
      <c r="A124" s="438" t="s">
        <v>545</v>
      </c>
      <c r="B124" s="545" t="s">
        <v>124</v>
      </c>
      <c r="C124" s="439">
        <v>1133</v>
      </c>
      <c r="D124" s="439">
        <v>1133</v>
      </c>
      <c r="E124" s="439"/>
    </row>
    <row r="125" spans="1:5" ht="15.75">
      <c r="A125" s="438"/>
      <c r="B125" s="545" t="s">
        <v>125</v>
      </c>
      <c r="C125" s="439">
        <v>1000</v>
      </c>
      <c r="D125" s="439">
        <v>1000</v>
      </c>
      <c r="E125" s="439"/>
    </row>
    <row r="126" spans="1:5" s="76" customFormat="1" ht="15.75">
      <c r="A126" s="440"/>
      <c r="B126" s="546" t="s">
        <v>637</v>
      </c>
      <c r="C126" s="441">
        <v>800</v>
      </c>
      <c r="D126" s="441">
        <v>800</v>
      </c>
      <c r="E126" s="441"/>
    </row>
    <row r="127" spans="1:5" s="76" customFormat="1" ht="15.75">
      <c r="A127" s="440"/>
      <c r="B127" s="546" t="s">
        <v>638</v>
      </c>
      <c r="C127" s="441">
        <v>200</v>
      </c>
      <c r="D127" s="441">
        <v>200</v>
      </c>
      <c r="E127" s="441"/>
    </row>
    <row r="128" spans="1:5" ht="31.5">
      <c r="A128" s="438"/>
      <c r="B128" s="545" t="s">
        <v>126</v>
      </c>
      <c r="C128" s="439">
        <v>133</v>
      </c>
      <c r="D128" s="439">
        <v>133</v>
      </c>
      <c r="E128" s="439"/>
    </row>
    <row r="129" spans="1:5" s="76" customFormat="1" ht="15.75">
      <c r="A129" s="440"/>
      <c r="B129" s="546" t="s">
        <v>639</v>
      </c>
      <c r="C129" s="441">
        <v>133</v>
      </c>
      <c r="D129" s="441">
        <v>133</v>
      </c>
      <c r="E129" s="441"/>
    </row>
    <row r="130" spans="1:5" ht="15.75">
      <c r="A130" s="438" t="s">
        <v>551</v>
      </c>
      <c r="B130" s="545" t="s">
        <v>554</v>
      </c>
      <c r="C130" s="439">
        <v>400</v>
      </c>
      <c r="D130" s="439">
        <v>400</v>
      </c>
      <c r="E130" s="439"/>
    </row>
    <row r="131" spans="1:5" ht="15.75">
      <c r="A131" s="438" t="s">
        <v>552</v>
      </c>
      <c r="B131" s="545" t="s">
        <v>556</v>
      </c>
      <c r="C131" s="439">
        <v>1000</v>
      </c>
      <c r="D131" s="439">
        <v>1000</v>
      </c>
      <c r="E131" s="439"/>
    </row>
    <row r="132" spans="1:5" ht="31.5">
      <c r="A132" s="438" t="s">
        <v>553</v>
      </c>
      <c r="B132" s="545" t="s">
        <v>615</v>
      </c>
      <c r="C132" s="439">
        <v>2000</v>
      </c>
      <c r="D132" s="439">
        <f>C132-E132</f>
        <v>20</v>
      </c>
      <c r="E132" s="439">
        <v>1980</v>
      </c>
    </row>
    <row r="133" spans="1:5" ht="15.75">
      <c r="A133" s="239" t="s">
        <v>170</v>
      </c>
      <c r="B133" s="240" t="s">
        <v>132</v>
      </c>
      <c r="C133" s="385"/>
      <c r="D133" s="94"/>
      <c r="E133" s="93"/>
    </row>
  </sheetData>
  <sheetProtection/>
  <mergeCells count="8">
    <mergeCell ref="C1:E1"/>
    <mergeCell ref="A3:E4"/>
    <mergeCell ref="A5:E5"/>
    <mergeCell ref="D6:E6"/>
    <mergeCell ref="A7:A8"/>
    <mergeCell ref="B7:B8"/>
    <mergeCell ref="C7:C8"/>
    <mergeCell ref="D7:E7"/>
  </mergeCells>
  <printOptions horizontalCentered="1"/>
  <pageMargins left="0" right="0" top="0.31496062992125984" bottom="0.5118110236220472" header="0.15748031496062992" footer="0.2362204724409449"/>
  <pageSetup fitToHeight="5" horizontalDpi="600" verticalDpi="600" orientation="portrait" paperSize="9" r:id="rId1"/>
  <headerFooter alignWithMargins="0">
    <oddFooter>&amp;C&amp;".VnTime,Italic"&amp;8
</oddFooter>
  </headerFooter>
</worksheet>
</file>

<file path=xl/worksheets/sheet8.xml><?xml version="1.0" encoding="utf-8"?>
<worksheet xmlns="http://schemas.openxmlformats.org/spreadsheetml/2006/main" xmlns:r="http://schemas.openxmlformats.org/officeDocument/2006/relationships">
  <dimension ref="A1:G85"/>
  <sheetViews>
    <sheetView view="pageBreakPreview" zoomScaleSheetLayoutView="100" zoomScalePageLayoutView="0" workbookViewId="0" topLeftCell="A1">
      <pane xSplit="1" ySplit="6" topLeftCell="B7" activePane="bottomRight" state="frozen"/>
      <selection pane="topLeft" activeCell="A1" sqref="A1"/>
      <selection pane="topRight" activeCell="B1" sqref="B1"/>
      <selection pane="bottomLeft" activeCell="A9" sqref="A9"/>
      <selection pane="bottomRight" activeCell="B86" sqref="B86"/>
    </sheetView>
  </sheetViews>
  <sheetFormatPr defaultColWidth="8.796875" defaultRowHeight="15"/>
  <cols>
    <col min="1" max="1" width="6" style="136" customWidth="1"/>
    <col min="2" max="2" width="73.5" style="136" customWidth="1"/>
    <col min="3" max="3" width="13.59765625" style="386" customWidth="1"/>
    <col min="4" max="4" width="9" style="136" customWidth="1"/>
    <col min="5" max="5" width="10" style="136" customWidth="1"/>
    <col min="6" max="6" width="9.8984375" style="136" customWidth="1"/>
    <col min="7" max="16384" width="9" style="136" customWidth="1"/>
  </cols>
  <sheetData>
    <row r="1" spans="1:3" ht="21" customHeight="1">
      <c r="A1" s="138"/>
      <c r="B1" s="618" t="s">
        <v>261</v>
      </c>
      <c r="C1" s="618"/>
    </row>
    <row r="2" spans="1:2" ht="24.75" customHeight="1">
      <c r="A2" s="135"/>
      <c r="B2" s="135"/>
    </row>
    <row r="3" spans="1:3" ht="21" customHeight="1">
      <c r="A3" s="619" t="s">
        <v>558</v>
      </c>
      <c r="B3" s="619"/>
      <c r="C3" s="619"/>
    </row>
    <row r="4" spans="1:3" ht="21" customHeight="1">
      <c r="A4" s="620" t="str">
        <f>'Biểu 15-NQ'!A4:G4</f>
        <v>(Kèm theo Nghị quyết số   96 /NQ-HĐND ngày  07  tháng 12 năm 2018 của HĐND tỉnh Điện Biên)</v>
      </c>
      <c r="B4" s="620"/>
      <c r="C4" s="620"/>
    </row>
    <row r="5" spans="1:3" ht="24" customHeight="1">
      <c r="A5" s="172"/>
      <c r="B5" s="172"/>
      <c r="C5" s="387" t="s">
        <v>17</v>
      </c>
    </row>
    <row r="6" spans="1:3" ht="36" customHeight="1">
      <c r="A6" s="448" t="s">
        <v>1</v>
      </c>
      <c r="B6" s="448" t="s">
        <v>18</v>
      </c>
      <c r="C6" s="449" t="s">
        <v>262</v>
      </c>
    </row>
    <row r="7" spans="1:3" s="175" customFormat="1" ht="17.25" customHeight="1">
      <c r="A7" s="174" t="s">
        <v>3</v>
      </c>
      <c r="B7" s="174" t="s">
        <v>12</v>
      </c>
      <c r="C7" s="388">
        <v>1</v>
      </c>
    </row>
    <row r="8" spans="1:7" ht="21" customHeight="1">
      <c r="A8" s="303"/>
      <c r="B8" s="303" t="s">
        <v>81</v>
      </c>
      <c r="C8" s="389">
        <f>C9+C10</f>
        <v>8659440</v>
      </c>
      <c r="D8" s="136">
        <v>8626927</v>
      </c>
      <c r="E8" s="137">
        <f>D8-C8</f>
        <v>-32513</v>
      </c>
      <c r="G8" s="137"/>
    </row>
    <row r="9" spans="1:5" ht="21" customHeight="1">
      <c r="A9" s="176" t="s">
        <v>3</v>
      </c>
      <c r="B9" s="549" t="s">
        <v>302</v>
      </c>
      <c r="C9" s="390">
        <f>5164090+2000</f>
        <v>5166090</v>
      </c>
      <c r="E9" s="304"/>
    </row>
    <row r="10" spans="1:7" ht="21" customHeight="1">
      <c r="A10" s="176" t="s">
        <v>12</v>
      </c>
      <c r="B10" s="549" t="s">
        <v>264</v>
      </c>
      <c r="C10" s="61">
        <f>C11+C34</f>
        <v>3493350</v>
      </c>
      <c r="D10" s="136">
        <v>3991932</v>
      </c>
      <c r="E10" s="304">
        <f>D10-C10</f>
        <v>498582</v>
      </c>
      <c r="F10" s="136">
        <v>3994023</v>
      </c>
      <c r="G10" s="137">
        <f>C10-F10</f>
        <v>-500673</v>
      </c>
    </row>
    <row r="11" spans="1:3" ht="21" customHeight="1">
      <c r="A11" s="176" t="s">
        <v>303</v>
      </c>
      <c r="B11" s="549" t="s">
        <v>304</v>
      </c>
      <c r="C11" s="61">
        <f>C12+C16+C30+C31+C32+C33</f>
        <v>2855303</v>
      </c>
    </row>
    <row r="12" spans="1:5" ht="19.5" customHeight="1">
      <c r="A12" s="176" t="s">
        <v>4</v>
      </c>
      <c r="B12" s="549" t="s">
        <v>139</v>
      </c>
      <c r="C12" s="61">
        <f>C13+C14</f>
        <v>643413</v>
      </c>
      <c r="D12" s="137"/>
      <c r="E12" s="137"/>
    </row>
    <row r="13" spans="1:3" s="178" customFormat="1" ht="19.5" customHeight="1">
      <c r="A13" s="177">
        <v>1</v>
      </c>
      <c r="B13" s="550" t="s">
        <v>265</v>
      </c>
      <c r="C13" s="62">
        <v>625368</v>
      </c>
    </row>
    <row r="14" spans="1:3" ht="60" customHeight="1">
      <c r="A14" s="180">
        <v>2</v>
      </c>
      <c r="B14" s="551" t="s">
        <v>86</v>
      </c>
      <c r="C14" s="62">
        <v>18045</v>
      </c>
    </row>
    <row r="15" spans="1:3" s="178" customFormat="1" ht="26.25" customHeight="1" hidden="1">
      <c r="A15" s="362"/>
      <c r="B15" s="552" t="s">
        <v>448</v>
      </c>
      <c r="C15" s="63">
        <v>18045</v>
      </c>
    </row>
    <row r="16" spans="1:3" ht="21" customHeight="1">
      <c r="A16" s="176" t="s">
        <v>10</v>
      </c>
      <c r="B16" s="549" t="s">
        <v>87</v>
      </c>
      <c r="C16" s="497">
        <v>2124260</v>
      </c>
    </row>
    <row r="17" spans="1:3" s="178" customFormat="1" ht="19.5" customHeight="1">
      <c r="A17" s="179" t="s">
        <v>11</v>
      </c>
      <c r="B17" s="550" t="s">
        <v>266</v>
      </c>
      <c r="C17" s="496">
        <v>577385</v>
      </c>
    </row>
    <row r="18" spans="1:3" s="178" customFormat="1" ht="19.5" customHeight="1">
      <c r="A18" s="179" t="s">
        <v>11</v>
      </c>
      <c r="B18" s="550" t="s">
        <v>267</v>
      </c>
      <c r="C18" s="62">
        <v>10510</v>
      </c>
    </row>
    <row r="19" spans="1:3" s="178" customFormat="1" ht="19.5" customHeight="1">
      <c r="A19" s="179" t="s">
        <v>11</v>
      </c>
      <c r="B19" s="553" t="s">
        <v>199</v>
      </c>
      <c r="C19" s="496">
        <v>70870</v>
      </c>
    </row>
    <row r="20" spans="1:3" s="178" customFormat="1" ht="19.5" customHeight="1">
      <c r="A20" s="179" t="s">
        <v>11</v>
      </c>
      <c r="B20" s="553" t="s">
        <v>200</v>
      </c>
      <c r="C20" s="62">
        <v>9000</v>
      </c>
    </row>
    <row r="21" spans="1:3" s="178" customFormat="1" ht="19.5" customHeight="1">
      <c r="A21" s="179" t="s">
        <v>11</v>
      </c>
      <c r="B21" s="553" t="s">
        <v>201</v>
      </c>
      <c r="C21" s="496">
        <v>687206</v>
      </c>
    </row>
    <row r="22" spans="1:3" s="178" customFormat="1" ht="19.5" customHeight="1">
      <c r="A22" s="179" t="s">
        <v>11</v>
      </c>
      <c r="B22" s="553" t="s">
        <v>202</v>
      </c>
      <c r="C22" s="496">
        <v>56745</v>
      </c>
    </row>
    <row r="23" spans="1:3" s="178" customFormat="1" ht="19.5" customHeight="1">
      <c r="A23" s="179" t="s">
        <v>11</v>
      </c>
      <c r="B23" s="553" t="s">
        <v>203</v>
      </c>
      <c r="C23" s="62">
        <v>32438</v>
      </c>
    </row>
    <row r="24" spans="1:3" s="178" customFormat="1" ht="19.5" customHeight="1">
      <c r="A24" s="179" t="s">
        <v>11</v>
      </c>
      <c r="B24" s="553" t="s">
        <v>204</v>
      </c>
      <c r="C24" s="496">
        <v>5324</v>
      </c>
    </row>
    <row r="25" spans="1:3" s="178" customFormat="1" ht="19.5" customHeight="1">
      <c r="A25" s="179" t="s">
        <v>11</v>
      </c>
      <c r="B25" s="553" t="s">
        <v>205</v>
      </c>
      <c r="C25" s="496">
        <v>17776</v>
      </c>
    </row>
    <row r="26" spans="1:3" ht="19.5" customHeight="1">
      <c r="A26" s="179" t="s">
        <v>11</v>
      </c>
      <c r="B26" s="553" t="s">
        <v>206</v>
      </c>
      <c r="C26" s="496">
        <v>176689</v>
      </c>
    </row>
    <row r="27" spans="1:3" s="178" customFormat="1" ht="19.5" customHeight="1">
      <c r="A27" s="179" t="s">
        <v>11</v>
      </c>
      <c r="B27" s="553" t="s">
        <v>207</v>
      </c>
      <c r="C27" s="496">
        <v>383690</v>
      </c>
    </row>
    <row r="28" spans="1:3" ht="19.5" customHeight="1">
      <c r="A28" s="179" t="s">
        <v>11</v>
      </c>
      <c r="B28" s="553" t="s">
        <v>208</v>
      </c>
      <c r="C28" s="496">
        <v>26471</v>
      </c>
    </row>
    <row r="29" spans="1:3" ht="19.5" customHeight="1">
      <c r="A29" s="179" t="s">
        <v>11</v>
      </c>
      <c r="B29" s="553" t="s">
        <v>209</v>
      </c>
      <c r="C29" s="496">
        <v>70156</v>
      </c>
    </row>
    <row r="30" spans="1:3" ht="21" customHeight="1">
      <c r="A30" s="176" t="s">
        <v>14</v>
      </c>
      <c r="B30" s="549" t="s">
        <v>268</v>
      </c>
      <c r="C30" s="61">
        <v>1261</v>
      </c>
    </row>
    <row r="31" spans="1:3" ht="21" customHeight="1">
      <c r="A31" s="176" t="s">
        <v>15</v>
      </c>
      <c r="B31" s="549" t="s">
        <v>91</v>
      </c>
      <c r="C31" s="61">
        <v>1000</v>
      </c>
    </row>
    <row r="32" spans="1:3" ht="21" customHeight="1">
      <c r="A32" s="176" t="s">
        <v>92</v>
      </c>
      <c r="B32" s="549" t="s">
        <v>93</v>
      </c>
      <c r="C32" s="61">
        <v>55245</v>
      </c>
    </row>
    <row r="33" spans="1:3" ht="21" customHeight="1">
      <c r="A33" s="176" t="s">
        <v>269</v>
      </c>
      <c r="B33" s="549" t="s">
        <v>140</v>
      </c>
      <c r="C33" s="497">
        <v>30124</v>
      </c>
    </row>
    <row r="34" spans="1:3" ht="59.25" customHeight="1">
      <c r="A34" s="173" t="s">
        <v>305</v>
      </c>
      <c r="B34" s="554" t="s">
        <v>306</v>
      </c>
      <c r="C34" s="61">
        <f>SUM(C35,C41,C51)</f>
        <v>638047</v>
      </c>
    </row>
    <row r="35" spans="1:3" ht="21.75" customHeight="1">
      <c r="A35" s="72" t="s">
        <v>4</v>
      </c>
      <c r="B35" s="542" t="s">
        <v>280</v>
      </c>
      <c r="C35" s="73">
        <f>C36+C39</f>
        <v>25950</v>
      </c>
    </row>
    <row r="36" spans="1:3" ht="21.75" customHeight="1">
      <c r="A36" s="72">
        <v>1</v>
      </c>
      <c r="B36" s="542" t="s">
        <v>373</v>
      </c>
      <c r="C36" s="73">
        <f>SUM(C37:C38)</f>
        <v>7490</v>
      </c>
    </row>
    <row r="37" spans="1:3" ht="21.75" customHeight="1">
      <c r="A37" s="85" t="s">
        <v>11</v>
      </c>
      <c r="B37" s="540" t="s">
        <v>374</v>
      </c>
      <c r="C37" s="82"/>
    </row>
    <row r="38" spans="1:3" ht="21.75" customHeight="1">
      <c r="A38" s="85" t="s">
        <v>11</v>
      </c>
      <c r="B38" s="540" t="s">
        <v>375</v>
      </c>
      <c r="C38" s="82">
        <v>7490</v>
      </c>
    </row>
    <row r="39" spans="1:3" ht="21.75" customHeight="1">
      <c r="A39" s="72">
        <v>2</v>
      </c>
      <c r="B39" s="542" t="s">
        <v>376</v>
      </c>
      <c r="C39" s="74">
        <f>SUM(C40:C40)</f>
        <v>18460</v>
      </c>
    </row>
    <row r="40" spans="1:3" ht="21.75" customHeight="1">
      <c r="A40" s="85" t="s">
        <v>11</v>
      </c>
      <c r="B40" s="540" t="s">
        <v>375</v>
      </c>
      <c r="C40" s="82">
        <v>18460</v>
      </c>
    </row>
    <row r="41" spans="1:3" ht="21.75" customHeight="1">
      <c r="A41" s="72" t="s">
        <v>10</v>
      </c>
      <c r="B41" s="532" t="s">
        <v>107</v>
      </c>
      <c r="C41" s="73">
        <f>C42+C43+C50</f>
        <v>450960</v>
      </c>
    </row>
    <row r="42" spans="1:3" ht="21.75" customHeight="1">
      <c r="A42" s="72">
        <v>1</v>
      </c>
      <c r="B42" s="532" t="s">
        <v>108</v>
      </c>
      <c r="C42" s="74">
        <v>155254</v>
      </c>
    </row>
    <row r="43" spans="1:3" ht="21.75" customHeight="1">
      <c r="A43" s="72">
        <v>2</v>
      </c>
      <c r="B43" s="532" t="s">
        <v>109</v>
      </c>
      <c r="C43" s="74">
        <f>SUM(C44:C49)</f>
        <v>235316</v>
      </c>
    </row>
    <row r="44" spans="1:3" ht="21.75" customHeight="1">
      <c r="A44" s="85"/>
      <c r="B44" s="536" t="s">
        <v>309</v>
      </c>
      <c r="C44" s="391">
        <v>137630</v>
      </c>
    </row>
    <row r="45" spans="1:3" ht="21.75" customHeight="1">
      <c r="A45" s="85"/>
      <c r="B45" s="536" t="s">
        <v>310</v>
      </c>
      <c r="C45" s="391">
        <v>46877</v>
      </c>
    </row>
    <row r="46" spans="1:3" ht="21.75" customHeight="1">
      <c r="A46" s="85"/>
      <c r="B46" s="536" t="s">
        <v>311</v>
      </c>
      <c r="C46" s="391">
        <v>12743</v>
      </c>
    </row>
    <row r="47" spans="1:3" ht="42" customHeight="1" hidden="1">
      <c r="A47" s="85"/>
      <c r="B47" s="536" t="s">
        <v>312</v>
      </c>
      <c r="C47" s="372"/>
    </row>
    <row r="48" spans="1:3" ht="21.75" customHeight="1">
      <c r="A48" s="85"/>
      <c r="B48" s="536" t="s">
        <v>313</v>
      </c>
      <c r="C48" s="372">
        <v>18580</v>
      </c>
    </row>
    <row r="49" spans="1:3" ht="21.75" customHeight="1">
      <c r="A49" s="85"/>
      <c r="B49" s="536" t="s">
        <v>317</v>
      </c>
      <c r="C49" s="372">
        <v>19486</v>
      </c>
    </row>
    <row r="50" spans="1:3" ht="21.75" customHeight="1">
      <c r="A50" s="72">
        <v>3</v>
      </c>
      <c r="B50" s="532" t="s">
        <v>307</v>
      </c>
      <c r="C50" s="74">
        <v>60390</v>
      </c>
    </row>
    <row r="51" spans="1:3" ht="21" customHeight="1">
      <c r="A51" s="72" t="s">
        <v>14</v>
      </c>
      <c r="B51" s="532" t="s">
        <v>113</v>
      </c>
      <c r="C51" s="74">
        <f>C52+C61</f>
        <v>161137</v>
      </c>
    </row>
    <row r="52" spans="1:3" s="64" customFormat="1" ht="21.75" customHeight="1">
      <c r="A52" s="85">
        <v>1</v>
      </c>
      <c r="B52" s="534" t="s">
        <v>499</v>
      </c>
      <c r="C52" s="80">
        <f>C53+C57</f>
        <v>20545</v>
      </c>
    </row>
    <row r="53" spans="1:4" s="64" customFormat="1" ht="21.75" customHeight="1">
      <c r="A53" s="186"/>
      <c r="B53" s="534" t="s">
        <v>597</v>
      </c>
      <c r="C53" s="82">
        <f>C54+C55+C56</f>
        <v>7969</v>
      </c>
      <c r="D53" s="139"/>
    </row>
    <row r="54" spans="1:4" s="64" customFormat="1" ht="21.75" customHeight="1">
      <c r="A54" s="186"/>
      <c r="B54" s="534" t="s">
        <v>459</v>
      </c>
      <c r="C54" s="82">
        <v>4230</v>
      </c>
      <c r="D54" s="139"/>
    </row>
    <row r="55" spans="1:4" s="64" customFormat="1" ht="21.75" customHeight="1">
      <c r="A55" s="186"/>
      <c r="B55" s="533" t="s">
        <v>460</v>
      </c>
      <c r="C55" s="372">
        <v>539</v>
      </c>
      <c r="D55" s="139"/>
    </row>
    <row r="56" spans="1:4" s="64" customFormat="1" ht="31.5">
      <c r="A56" s="186"/>
      <c r="B56" s="533" t="s">
        <v>462</v>
      </c>
      <c r="C56" s="372">
        <v>3200</v>
      </c>
      <c r="D56" s="139"/>
    </row>
    <row r="57" spans="1:4" s="64" customFormat="1" ht="21.75" customHeight="1">
      <c r="A57" s="186"/>
      <c r="B57" s="534" t="s">
        <v>480</v>
      </c>
      <c r="C57" s="82">
        <f>C58+C59+C60</f>
        <v>12576</v>
      </c>
      <c r="D57" s="140"/>
    </row>
    <row r="58" spans="1:3" s="64" customFormat="1" ht="21.75" customHeight="1">
      <c r="A58" s="186"/>
      <c r="B58" s="534" t="s">
        <v>459</v>
      </c>
      <c r="C58" s="82">
        <v>2576</v>
      </c>
    </row>
    <row r="59" spans="1:3" s="64" customFormat="1" ht="21.75" customHeight="1">
      <c r="A59" s="183"/>
      <c r="B59" s="536" t="s">
        <v>598</v>
      </c>
      <c r="C59" s="372">
        <v>10000</v>
      </c>
    </row>
    <row r="60" spans="1:3" s="64" customFormat="1" ht="21.75" customHeight="1">
      <c r="A60" s="183"/>
      <c r="B60" s="536" t="s">
        <v>466</v>
      </c>
      <c r="C60" s="372"/>
    </row>
    <row r="61" spans="1:3" s="64" customFormat="1" ht="21.75" customHeight="1">
      <c r="A61" s="85">
        <v>2</v>
      </c>
      <c r="B61" s="534" t="s">
        <v>481</v>
      </c>
      <c r="C61" s="80">
        <f>SUM(C62,C65,C66,C67,C70,C71,C72,C73,C74,C75,C76,C79,C80,C83,C84,C85,C69,C68)</f>
        <v>140592</v>
      </c>
    </row>
    <row r="62" spans="1:3" s="64" customFormat="1" ht="21.75" customHeight="1">
      <c r="A62" s="85" t="s">
        <v>110</v>
      </c>
      <c r="B62" s="534" t="s">
        <v>117</v>
      </c>
      <c r="C62" s="80">
        <v>580</v>
      </c>
    </row>
    <row r="63" spans="1:3" s="64" customFormat="1" ht="21.75" customHeight="1">
      <c r="A63" s="90"/>
      <c r="B63" s="536" t="s">
        <v>500</v>
      </c>
      <c r="C63" s="81">
        <v>485</v>
      </c>
    </row>
    <row r="64" spans="1:3" s="64" customFormat="1" ht="21.75" customHeight="1">
      <c r="A64" s="90"/>
      <c r="B64" s="536" t="s">
        <v>501</v>
      </c>
      <c r="C64" s="81">
        <v>95</v>
      </c>
    </row>
    <row r="65" spans="1:3" s="64" customFormat="1" ht="21.75" customHeight="1">
      <c r="A65" s="85" t="s">
        <v>497</v>
      </c>
      <c r="B65" s="534" t="s">
        <v>116</v>
      </c>
      <c r="C65" s="80">
        <v>3427</v>
      </c>
    </row>
    <row r="66" spans="1:3" s="64" customFormat="1" ht="21.75" customHeight="1">
      <c r="A66" s="85" t="s">
        <v>519</v>
      </c>
      <c r="B66" s="534" t="s">
        <v>520</v>
      </c>
      <c r="C66" s="80">
        <v>315</v>
      </c>
    </row>
    <row r="67" spans="1:3" ht="21.75" customHeight="1">
      <c r="A67" s="85" t="s">
        <v>521</v>
      </c>
      <c r="B67" s="534" t="s">
        <v>114</v>
      </c>
      <c r="C67" s="80">
        <v>50000</v>
      </c>
    </row>
    <row r="68" spans="1:3" ht="31.5">
      <c r="A68" s="85" t="s">
        <v>522</v>
      </c>
      <c r="B68" s="534" t="s">
        <v>595</v>
      </c>
      <c r="C68" s="80">
        <v>1294</v>
      </c>
    </row>
    <row r="69" spans="1:3" ht="21.75" customHeight="1">
      <c r="A69" s="85" t="s">
        <v>523</v>
      </c>
      <c r="B69" s="534" t="s">
        <v>115</v>
      </c>
      <c r="C69" s="80">
        <v>1610</v>
      </c>
    </row>
    <row r="70" spans="1:3" ht="31.5">
      <c r="A70" s="85" t="s">
        <v>524</v>
      </c>
      <c r="B70" s="534" t="s">
        <v>614</v>
      </c>
      <c r="C70" s="80">
        <v>2600</v>
      </c>
    </row>
    <row r="71" spans="1:3" ht="21.75" customHeight="1">
      <c r="A71" s="85" t="s">
        <v>525</v>
      </c>
      <c r="B71" s="534" t="s">
        <v>130</v>
      </c>
      <c r="C71" s="80">
        <v>2903</v>
      </c>
    </row>
    <row r="72" spans="1:3" ht="21.75" customHeight="1">
      <c r="A72" s="85" t="s">
        <v>526</v>
      </c>
      <c r="B72" s="534" t="s">
        <v>118</v>
      </c>
      <c r="C72" s="80">
        <v>9570</v>
      </c>
    </row>
    <row r="73" spans="1:3" ht="21.75" customHeight="1">
      <c r="A73" s="85" t="s">
        <v>530</v>
      </c>
      <c r="B73" s="534" t="s">
        <v>476</v>
      </c>
      <c r="C73" s="80">
        <v>47200</v>
      </c>
    </row>
    <row r="74" spans="1:3" ht="21.75" customHeight="1">
      <c r="A74" s="85" t="s">
        <v>531</v>
      </c>
      <c r="B74" s="534" t="s">
        <v>532</v>
      </c>
      <c r="C74" s="80">
        <v>1713</v>
      </c>
    </row>
    <row r="75" spans="1:3" ht="21.75" customHeight="1">
      <c r="A75" s="547" t="s">
        <v>543</v>
      </c>
      <c r="B75" s="555" t="s">
        <v>544</v>
      </c>
      <c r="C75" s="445">
        <v>7890</v>
      </c>
    </row>
    <row r="76" spans="1:3" ht="31.5">
      <c r="A76" s="547" t="s">
        <v>545</v>
      </c>
      <c r="B76" s="555" t="s">
        <v>428</v>
      </c>
      <c r="C76" s="445">
        <v>2180</v>
      </c>
    </row>
    <row r="77" spans="1:3" ht="21.75" customHeight="1">
      <c r="A77" s="444"/>
      <c r="B77" s="555" t="s">
        <v>127</v>
      </c>
      <c r="C77" s="445">
        <v>420</v>
      </c>
    </row>
    <row r="78" spans="1:3" ht="21.75" customHeight="1">
      <c r="A78" s="444"/>
      <c r="B78" s="555" t="s">
        <v>128</v>
      </c>
      <c r="C78" s="445">
        <v>1760</v>
      </c>
    </row>
    <row r="79" spans="1:3" ht="21.75" customHeight="1">
      <c r="A79" s="547" t="s">
        <v>551</v>
      </c>
      <c r="B79" s="555" t="s">
        <v>129</v>
      </c>
      <c r="C79" s="445">
        <v>6757</v>
      </c>
    </row>
    <row r="80" spans="1:3" ht="21.75" customHeight="1">
      <c r="A80" s="547" t="s">
        <v>552</v>
      </c>
      <c r="B80" s="555" t="s">
        <v>124</v>
      </c>
      <c r="C80" s="445">
        <v>1133</v>
      </c>
    </row>
    <row r="81" spans="1:3" ht="21.75" customHeight="1">
      <c r="A81" s="444"/>
      <c r="B81" s="555" t="s">
        <v>125</v>
      </c>
      <c r="C81" s="445">
        <v>1000</v>
      </c>
    </row>
    <row r="82" spans="1:3" ht="21.75" customHeight="1">
      <c r="A82" s="444"/>
      <c r="B82" s="555" t="s">
        <v>126</v>
      </c>
      <c r="C82" s="445">
        <v>133</v>
      </c>
    </row>
    <row r="83" spans="1:3" ht="21.75" customHeight="1">
      <c r="A83" s="547" t="s">
        <v>553</v>
      </c>
      <c r="B83" s="555" t="s">
        <v>554</v>
      </c>
      <c r="C83" s="445">
        <v>400</v>
      </c>
    </row>
    <row r="84" spans="1:3" ht="21.75" customHeight="1">
      <c r="A84" s="547" t="s">
        <v>555</v>
      </c>
      <c r="B84" s="555" t="s">
        <v>556</v>
      </c>
      <c r="C84" s="445">
        <v>1000</v>
      </c>
    </row>
    <row r="85" spans="1:3" ht="31.5">
      <c r="A85" s="548" t="s">
        <v>557</v>
      </c>
      <c r="B85" s="556" t="s">
        <v>615</v>
      </c>
      <c r="C85" s="446">
        <v>20</v>
      </c>
    </row>
  </sheetData>
  <sheetProtection/>
  <mergeCells count="3">
    <mergeCell ref="B1:C1"/>
    <mergeCell ref="A3:C3"/>
    <mergeCell ref="A4:C4"/>
  </mergeCells>
  <printOptions horizontalCentered="1"/>
  <pageMargins left="0.2362204724409449" right="0.2362204724409449" top="0" bottom="0"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S93"/>
  <sheetViews>
    <sheetView zoomScaleSheetLayoutView="85" zoomScalePageLayoutView="0" workbookViewId="0" topLeftCell="A1">
      <selection activeCell="C77" sqref="C77"/>
    </sheetView>
  </sheetViews>
  <sheetFormatPr defaultColWidth="10.09765625" defaultRowHeight="15"/>
  <cols>
    <col min="1" max="1" width="5.3984375" style="331" customWidth="1"/>
    <col min="2" max="2" width="43.8984375" style="293" customWidth="1"/>
    <col min="3" max="3" width="10.3984375" style="293" customWidth="1"/>
    <col min="4" max="4" width="9.19921875" style="310" customWidth="1"/>
    <col min="5" max="5" width="10.3984375" style="310" customWidth="1"/>
    <col min="6" max="6" width="8.59765625" style="293" customWidth="1"/>
    <col min="7" max="7" width="8" style="293" customWidth="1"/>
    <col min="8" max="8" width="7.5" style="293" customWidth="1"/>
    <col min="9" max="9" width="8.09765625" style="293" customWidth="1"/>
    <col min="10" max="10" width="9.3984375" style="293" customWidth="1"/>
    <col min="11" max="11" width="8.19921875" style="293" customWidth="1"/>
    <col min="12" max="13" width="9.59765625" style="293" hidden="1" customWidth="1"/>
    <col min="14" max="14" width="8.3984375" style="293" customWidth="1"/>
    <col min="15" max="16" width="9.3984375" style="293" hidden="1" customWidth="1"/>
    <col min="17" max="17" width="9.8984375" style="293" customWidth="1"/>
    <col min="18" max="16384" width="10.09765625" style="293" customWidth="1"/>
  </cols>
  <sheetData>
    <row r="1" spans="1:17" ht="21" customHeight="1">
      <c r="A1" s="305"/>
      <c r="B1" s="306"/>
      <c r="C1" s="292"/>
      <c r="D1" s="307"/>
      <c r="E1" s="307"/>
      <c r="F1" s="292"/>
      <c r="G1" s="306"/>
      <c r="H1" s="306"/>
      <c r="I1" s="628" t="s">
        <v>356</v>
      </c>
      <c r="J1" s="628"/>
      <c r="K1" s="628"/>
      <c r="L1" s="628"/>
      <c r="M1" s="628"/>
      <c r="N1" s="628"/>
      <c r="O1" s="628"/>
      <c r="P1" s="628"/>
      <c r="Q1" s="628"/>
    </row>
    <row r="2" spans="1:17" ht="21" customHeight="1">
      <c r="A2" s="629" t="s">
        <v>574</v>
      </c>
      <c r="B2" s="629"/>
      <c r="C2" s="629"/>
      <c r="D2" s="629"/>
      <c r="E2" s="629"/>
      <c r="F2" s="629"/>
      <c r="G2" s="629"/>
      <c r="H2" s="629"/>
      <c r="I2" s="629"/>
      <c r="J2" s="629"/>
      <c r="K2" s="629"/>
      <c r="L2" s="629"/>
      <c r="M2" s="629"/>
      <c r="N2" s="629"/>
      <c r="O2" s="629"/>
      <c r="P2" s="629"/>
      <c r="Q2" s="629"/>
    </row>
    <row r="3" spans="1:17" ht="21" customHeight="1">
      <c r="A3" s="630" t="str">
        <f>'Biểu 15-NQ'!A4:G4</f>
        <v>(Kèm theo Nghị quyết số   96 /NQ-HĐND ngày  07  tháng 12 năm 2018 của HĐND tỉnh Điện Biên)</v>
      </c>
      <c r="B3" s="630"/>
      <c r="C3" s="630"/>
      <c r="D3" s="630"/>
      <c r="E3" s="630"/>
      <c r="F3" s="630"/>
      <c r="G3" s="630"/>
      <c r="H3" s="630"/>
      <c r="I3" s="630"/>
      <c r="J3" s="630"/>
      <c r="K3" s="630"/>
      <c r="L3" s="630"/>
      <c r="M3" s="630"/>
      <c r="N3" s="630"/>
      <c r="O3" s="630"/>
      <c r="P3" s="630"/>
      <c r="Q3" s="630"/>
    </row>
    <row r="4" spans="1:17" ht="19.5" customHeight="1">
      <c r="A4" s="308"/>
      <c r="B4" s="309"/>
      <c r="G4" s="311"/>
      <c r="H4" s="311"/>
      <c r="I4" s="311"/>
      <c r="J4" s="311"/>
      <c r="K4" s="631" t="s">
        <v>0</v>
      </c>
      <c r="L4" s="631"/>
      <c r="M4" s="631"/>
      <c r="N4" s="631"/>
      <c r="O4" s="631"/>
      <c r="P4" s="631"/>
      <c r="Q4" s="631"/>
    </row>
    <row r="5" spans="1:17" s="295" customFormat="1" ht="15" customHeight="1">
      <c r="A5" s="632" t="s">
        <v>1</v>
      </c>
      <c r="B5" s="622" t="s">
        <v>53</v>
      </c>
      <c r="C5" s="623" t="s">
        <v>54</v>
      </c>
      <c r="D5" s="626" t="s">
        <v>446</v>
      </c>
      <c r="E5" s="627"/>
      <c r="F5" s="622" t="s">
        <v>357</v>
      </c>
      <c r="G5" s="622" t="s">
        <v>91</v>
      </c>
      <c r="H5" s="622" t="s">
        <v>358</v>
      </c>
      <c r="I5" s="622" t="s">
        <v>140</v>
      </c>
      <c r="J5" s="623" t="s">
        <v>353</v>
      </c>
      <c r="K5" s="623"/>
      <c r="L5" s="623"/>
      <c r="M5" s="623"/>
      <c r="N5" s="623"/>
      <c r="O5" s="312"/>
      <c r="P5" s="312"/>
      <c r="Q5" s="622" t="s">
        <v>449</v>
      </c>
    </row>
    <row r="6" spans="1:17" s="295" customFormat="1" ht="18.75" customHeight="1">
      <c r="A6" s="633"/>
      <c r="B6" s="622"/>
      <c r="C6" s="623"/>
      <c r="D6" s="624" t="s">
        <v>445</v>
      </c>
      <c r="E6" s="624" t="s">
        <v>87</v>
      </c>
      <c r="F6" s="622"/>
      <c r="G6" s="622"/>
      <c r="H6" s="622"/>
      <c r="I6" s="622"/>
      <c r="J6" s="623" t="s">
        <v>54</v>
      </c>
      <c r="K6" s="622" t="s">
        <v>139</v>
      </c>
      <c r="L6" s="296"/>
      <c r="M6" s="296"/>
      <c r="N6" s="622" t="s">
        <v>87</v>
      </c>
      <c r="O6" s="296"/>
      <c r="P6" s="296"/>
      <c r="Q6" s="622"/>
    </row>
    <row r="7" spans="1:17" s="295" customFormat="1" ht="73.5" customHeight="1">
      <c r="A7" s="633"/>
      <c r="B7" s="622"/>
      <c r="C7" s="623"/>
      <c r="D7" s="625"/>
      <c r="E7" s="625"/>
      <c r="F7" s="622"/>
      <c r="G7" s="622"/>
      <c r="H7" s="622"/>
      <c r="I7" s="622"/>
      <c r="J7" s="623"/>
      <c r="K7" s="622"/>
      <c r="L7" s="296" t="s">
        <v>430</v>
      </c>
      <c r="M7" s="296" t="s">
        <v>431</v>
      </c>
      <c r="N7" s="622"/>
      <c r="O7" s="296" t="s">
        <v>430</v>
      </c>
      <c r="P7" s="296" t="s">
        <v>431</v>
      </c>
      <c r="Q7" s="622"/>
    </row>
    <row r="8" spans="1:17" s="298" customFormat="1" ht="17.25" customHeight="1">
      <c r="A8" s="313" t="s">
        <v>3</v>
      </c>
      <c r="B8" s="297" t="s">
        <v>12</v>
      </c>
      <c r="C8" s="314">
        <v>1</v>
      </c>
      <c r="D8" s="315">
        <f aca="true" t="shared" si="0" ref="D8:K8">C8+1</f>
        <v>2</v>
      </c>
      <c r="E8" s="315">
        <f t="shared" si="0"/>
        <v>3</v>
      </c>
      <c r="F8" s="316">
        <f t="shared" si="0"/>
        <v>4</v>
      </c>
      <c r="G8" s="316">
        <f t="shared" si="0"/>
        <v>5</v>
      </c>
      <c r="H8" s="316">
        <f t="shared" si="0"/>
        <v>6</v>
      </c>
      <c r="I8" s="316">
        <f t="shared" si="0"/>
        <v>7</v>
      </c>
      <c r="J8" s="316">
        <f t="shared" si="0"/>
        <v>8</v>
      </c>
      <c r="K8" s="316">
        <f t="shared" si="0"/>
        <v>9</v>
      </c>
      <c r="L8" s="316"/>
      <c r="M8" s="316"/>
      <c r="N8" s="316">
        <f>K8+1</f>
        <v>10</v>
      </c>
      <c r="O8" s="316">
        <f>N8+1</f>
        <v>11</v>
      </c>
      <c r="P8" s="316"/>
      <c r="Q8" s="316">
        <f>O8+1</f>
        <v>12</v>
      </c>
    </row>
    <row r="9" spans="1:17" s="298" customFormat="1" ht="15.75">
      <c r="A9" s="317"/>
      <c r="B9" s="456" t="s">
        <v>2</v>
      </c>
      <c r="C9" s="363">
        <f>SUM(C10,C73:C77)</f>
        <v>7235536</v>
      </c>
      <c r="D9" s="363">
        <f>SUM(D10,D73:D73)</f>
        <v>0</v>
      </c>
      <c r="E9" s="364">
        <f aca="true" t="shared" si="1" ref="E9:J9">SUM(E10,E73,E74,E75,E76,E77,E78)</f>
        <v>1906023</v>
      </c>
      <c r="F9" s="364">
        <f t="shared" si="1"/>
        <v>1261</v>
      </c>
      <c r="G9" s="364">
        <f t="shared" si="1"/>
        <v>1000</v>
      </c>
      <c r="H9" s="364">
        <f t="shared" si="1"/>
        <v>55245</v>
      </c>
      <c r="I9" s="364">
        <f t="shared" si="1"/>
        <v>30124</v>
      </c>
      <c r="J9" s="364">
        <f t="shared" si="1"/>
        <v>15950</v>
      </c>
      <c r="K9" s="364">
        <f>SUM(K10,K74,K75,K76,K77,K78,K79)</f>
        <v>0</v>
      </c>
      <c r="L9" s="364">
        <f>SUM(L10,L74,L75,L76,L77,L78,L79)</f>
        <v>0</v>
      </c>
      <c r="M9" s="364">
        <f>SUM(M10,M74,M75,M76,M77,M78,M79)</f>
        <v>0</v>
      </c>
      <c r="N9" s="364">
        <f>SUM(N10,N73,N74,N75,N76,N77,N78)</f>
        <v>15950</v>
      </c>
      <c r="O9" s="364">
        <f>SUM(O10,O74,O75,O76,O77,O78,O79)</f>
        <v>6015</v>
      </c>
      <c r="P9" s="364">
        <f>SUM(P10,P74,P75,P76,P77,P78,P79)</f>
        <v>7290</v>
      </c>
      <c r="Q9" s="364">
        <f>SUM(Q10,Q73,Q74,Q75,Q76,Q77,Q78)</f>
        <v>109843</v>
      </c>
    </row>
    <row r="10" spans="1:17" s="325" customFormat="1" ht="15.75">
      <c r="A10" s="323" t="s">
        <v>4</v>
      </c>
      <c r="B10" s="457" t="s">
        <v>567</v>
      </c>
      <c r="C10" s="342">
        <f>SUM(C11,C60)</f>
        <v>2031816</v>
      </c>
      <c r="D10" s="341">
        <f>SUM(D11,D60)</f>
        <v>0</v>
      </c>
      <c r="E10" s="342">
        <f>SUM(E11,E60)</f>
        <v>1906023</v>
      </c>
      <c r="F10" s="342">
        <f>SUM(F11:F72)</f>
        <v>0</v>
      </c>
      <c r="G10" s="342">
        <f>SUM(G11:G72)</f>
        <v>0</v>
      </c>
      <c r="H10" s="342">
        <f>SUM(H11:H72)</f>
        <v>0</v>
      </c>
      <c r="I10" s="342">
        <f>SUM(I11:I72)</f>
        <v>0</v>
      </c>
      <c r="J10" s="342">
        <f>SUM(J11,J60)</f>
        <v>15950</v>
      </c>
      <c r="K10" s="342">
        <f>SUM(K11:K73)</f>
        <v>0</v>
      </c>
      <c r="L10" s="342">
        <f>SUM(L11:L73)</f>
        <v>0</v>
      </c>
      <c r="M10" s="342">
        <f>SUM(M11:M73)</f>
        <v>0</v>
      </c>
      <c r="N10" s="342">
        <f>SUM(N11,N60)</f>
        <v>15950</v>
      </c>
      <c r="O10" s="342">
        <f>SUM(O11:O73)</f>
        <v>6015</v>
      </c>
      <c r="P10" s="342">
        <f>SUM(P11:P73)</f>
        <v>7290</v>
      </c>
      <c r="Q10" s="342">
        <f>SUM(Q11,Q60)</f>
        <v>109843</v>
      </c>
    </row>
    <row r="11" spans="1:17" ht="15.75">
      <c r="A11" s="318" t="s">
        <v>4</v>
      </c>
      <c r="B11" s="319" t="s">
        <v>568</v>
      </c>
      <c r="C11" s="333">
        <f>SUM(C12:C59)</f>
        <v>2017916</v>
      </c>
      <c r="D11" s="339">
        <f>SUM(D12:D57)</f>
        <v>0</v>
      </c>
      <c r="E11" s="333">
        <f>SUM(E12:E59)</f>
        <v>1892703</v>
      </c>
      <c r="F11" s="333"/>
      <c r="G11" s="333"/>
      <c r="H11" s="333"/>
      <c r="I11" s="333"/>
      <c r="J11" s="333">
        <f>SUM(J12:J59)</f>
        <v>15950</v>
      </c>
      <c r="K11" s="333"/>
      <c r="L11" s="333"/>
      <c r="M11" s="333"/>
      <c r="N11" s="333">
        <f>SUM(N12:N59)</f>
        <v>15950</v>
      </c>
      <c r="O11" s="333"/>
      <c r="P11" s="333"/>
      <c r="Q11" s="333">
        <f>SUM(Q12:Q59)</f>
        <v>109263</v>
      </c>
    </row>
    <row r="12" spans="1:17" ht="15.75">
      <c r="A12" s="318">
        <v>1</v>
      </c>
      <c r="B12" s="319" t="s">
        <v>212</v>
      </c>
      <c r="C12" s="333">
        <f>SUM(D12:J12,Q12)</f>
        <v>14589</v>
      </c>
      <c r="D12" s="339"/>
      <c r="E12" s="339">
        <v>14589</v>
      </c>
      <c r="F12" s="333"/>
      <c r="G12" s="333"/>
      <c r="H12" s="333"/>
      <c r="I12" s="333"/>
      <c r="J12" s="333">
        <f>SUM(K12:N12)</f>
        <v>0</v>
      </c>
      <c r="K12" s="333"/>
      <c r="L12" s="333"/>
      <c r="M12" s="333"/>
      <c r="N12" s="333"/>
      <c r="O12" s="333"/>
      <c r="P12" s="333"/>
      <c r="Q12" s="333"/>
    </row>
    <row r="13" spans="1:17" ht="15.75">
      <c r="A13" s="318">
        <v>2</v>
      </c>
      <c r="B13" s="319" t="s">
        <v>213</v>
      </c>
      <c r="C13" s="333">
        <f aca="true" t="shared" si="2" ref="C13:C59">SUM(D13:J13,Q13)</f>
        <v>23399</v>
      </c>
      <c r="D13" s="339"/>
      <c r="E13" s="339">
        <v>23399</v>
      </c>
      <c r="F13" s="333"/>
      <c r="G13" s="333"/>
      <c r="H13" s="333"/>
      <c r="I13" s="333"/>
      <c r="J13" s="333">
        <f>SUM(K13:N13)</f>
        <v>0</v>
      </c>
      <c r="K13" s="333"/>
      <c r="L13" s="333"/>
      <c r="M13" s="333"/>
      <c r="N13" s="333"/>
      <c r="O13" s="333"/>
      <c r="P13" s="333"/>
      <c r="Q13" s="333"/>
    </row>
    <row r="14" spans="1:17" ht="15.75">
      <c r="A14" s="318">
        <v>3</v>
      </c>
      <c r="B14" s="319" t="s">
        <v>214</v>
      </c>
      <c r="C14" s="333">
        <f t="shared" si="2"/>
        <v>81000</v>
      </c>
      <c r="D14" s="339"/>
      <c r="E14" s="339">
        <v>81000</v>
      </c>
      <c r="F14" s="333"/>
      <c r="G14" s="333"/>
      <c r="H14" s="333"/>
      <c r="I14" s="333"/>
      <c r="J14" s="333">
        <f>SUM(K14:N14)</f>
        <v>0</v>
      </c>
      <c r="K14" s="333"/>
      <c r="L14" s="333"/>
      <c r="M14" s="333"/>
      <c r="N14" s="333"/>
      <c r="O14" s="333"/>
      <c r="P14" s="333"/>
      <c r="Q14" s="333"/>
    </row>
    <row r="15" spans="1:17" ht="15.75">
      <c r="A15" s="318">
        <v>4</v>
      </c>
      <c r="B15" s="319" t="s">
        <v>215</v>
      </c>
      <c r="C15" s="333">
        <f t="shared" si="2"/>
        <v>507896</v>
      </c>
      <c r="D15" s="339"/>
      <c r="E15" s="339">
        <v>457296</v>
      </c>
      <c r="F15" s="333"/>
      <c r="G15" s="333"/>
      <c r="H15" s="333"/>
      <c r="I15" s="333"/>
      <c r="J15" s="333">
        <f>SUM(K15:N15)</f>
        <v>3000</v>
      </c>
      <c r="K15" s="333"/>
      <c r="L15" s="333"/>
      <c r="M15" s="333"/>
      <c r="N15" s="333">
        <v>3000</v>
      </c>
      <c r="O15" s="333"/>
      <c r="P15" s="333"/>
      <c r="Q15" s="333">
        <v>47600</v>
      </c>
    </row>
    <row r="16" spans="1:17" ht="15.75">
      <c r="A16" s="318">
        <v>5</v>
      </c>
      <c r="B16" s="319" t="s">
        <v>216</v>
      </c>
      <c r="C16" s="333">
        <f t="shared" si="2"/>
        <v>9122</v>
      </c>
      <c r="D16" s="339"/>
      <c r="E16" s="339">
        <v>9122</v>
      </c>
      <c r="F16" s="333"/>
      <c r="G16" s="333"/>
      <c r="H16" s="333"/>
      <c r="I16" s="333"/>
      <c r="J16" s="333">
        <f aca="true" t="shared" si="3" ref="J16:J72">SUM(K16:N16)</f>
        <v>0</v>
      </c>
      <c r="K16" s="333"/>
      <c r="L16" s="333"/>
      <c r="M16" s="333"/>
      <c r="N16" s="333"/>
      <c r="O16" s="333">
        <v>3000</v>
      </c>
      <c r="P16" s="333"/>
      <c r="Q16" s="333"/>
    </row>
    <row r="17" spans="1:17" ht="15.75">
      <c r="A17" s="318">
        <v>6</v>
      </c>
      <c r="B17" s="320" t="s">
        <v>585</v>
      </c>
      <c r="C17" s="333">
        <f t="shared" si="2"/>
        <v>120692</v>
      </c>
      <c r="D17" s="339"/>
      <c r="E17" s="339">
        <v>111470</v>
      </c>
      <c r="F17" s="333"/>
      <c r="G17" s="333"/>
      <c r="H17" s="333"/>
      <c r="I17" s="333"/>
      <c r="J17" s="333">
        <f t="shared" si="3"/>
        <v>1945</v>
      </c>
      <c r="K17" s="333"/>
      <c r="L17" s="333"/>
      <c r="M17" s="333"/>
      <c r="N17" s="333">
        <v>1945</v>
      </c>
      <c r="O17" s="333"/>
      <c r="P17" s="333"/>
      <c r="Q17" s="333">
        <v>7277</v>
      </c>
    </row>
    <row r="18" spans="1:17" ht="15.75">
      <c r="A18" s="318">
        <v>7</v>
      </c>
      <c r="B18" s="319" t="s">
        <v>217</v>
      </c>
      <c r="C18" s="333">
        <f t="shared" si="2"/>
        <v>379405</v>
      </c>
      <c r="D18" s="339"/>
      <c r="E18" s="339">
        <v>348820</v>
      </c>
      <c r="F18" s="333"/>
      <c r="G18" s="333"/>
      <c r="H18" s="333"/>
      <c r="I18" s="333"/>
      <c r="J18" s="333">
        <f t="shared" si="3"/>
        <v>0</v>
      </c>
      <c r="K18" s="333"/>
      <c r="L18" s="333"/>
      <c r="M18" s="333"/>
      <c r="N18" s="333"/>
      <c r="O18" s="333">
        <v>1315</v>
      </c>
      <c r="P18" s="333">
        <v>50</v>
      </c>
      <c r="Q18" s="333">
        <v>30585</v>
      </c>
    </row>
    <row r="19" spans="1:17" ht="15.75">
      <c r="A19" s="318">
        <v>8</v>
      </c>
      <c r="B19" s="319" t="s">
        <v>218</v>
      </c>
      <c r="C19" s="333">
        <f t="shared" si="2"/>
        <v>58492</v>
      </c>
      <c r="D19" s="339"/>
      <c r="E19" s="339">
        <v>57259</v>
      </c>
      <c r="F19" s="333"/>
      <c r="G19" s="333"/>
      <c r="H19" s="333"/>
      <c r="I19" s="333"/>
      <c r="J19" s="333">
        <f t="shared" si="3"/>
        <v>100</v>
      </c>
      <c r="K19" s="333"/>
      <c r="L19" s="333"/>
      <c r="M19" s="333"/>
      <c r="N19" s="333">
        <v>100</v>
      </c>
      <c r="O19" s="333"/>
      <c r="P19" s="333"/>
      <c r="Q19" s="339">
        <v>1133</v>
      </c>
    </row>
    <row r="20" spans="1:17" ht="15.75">
      <c r="A20" s="318">
        <v>9</v>
      </c>
      <c r="B20" s="319" t="s">
        <v>219</v>
      </c>
      <c r="C20" s="333">
        <f t="shared" si="2"/>
        <v>11296</v>
      </c>
      <c r="D20" s="339"/>
      <c r="E20" s="339">
        <v>10651</v>
      </c>
      <c r="F20" s="333"/>
      <c r="G20" s="333"/>
      <c r="H20" s="333"/>
      <c r="I20" s="333"/>
      <c r="J20" s="333">
        <f t="shared" si="3"/>
        <v>0</v>
      </c>
      <c r="K20" s="333"/>
      <c r="L20" s="333"/>
      <c r="M20" s="333"/>
      <c r="N20" s="333"/>
      <c r="O20" s="333"/>
      <c r="P20" s="333"/>
      <c r="Q20" s="333">
        <v>645</v>
      </c>
    </row>
    <row r="21" spans="1:17" ht="15.75">
      <c r="A21" s="318">
        <v>10</v>
      </c>
      <c r="B21" s="319" t="s">
        <v>220</v>
      </c>
      <c r="C21" s="333">
        <f t="shared" si="2"/>
        <v>35691</v>
      </c>
      <c r="D21" s="339"/>
      <c r="E21" s="339">
        <v>32724</v>
      </c>
      <c r="F21" s="333"/>
      <c r="G21" s="333"/>
      <c r="H21" s="333"/>
      <c r="I21" s="333"/>
      <c r="J21" s="333">
        <f t="shared" si="3"/>
        <v>684</v>
      </c>
      <c r="K21" s="333"/>
      <c r="L21" s="333"/>
      <c r="M21" s="333"/>
      <c r="N21" s="333">
        <v>684</v>
      </c>
      <c r="O21" s="333"/>
      <c r="P21" s="333"/>
      <c r="Q21" s="333">
        <v>2283</v>
      </c>
    </row>
    <row r="22" spans="1:17" ht="15.75">
      <c r="A22" s="318">
        <v>11</v>
      </c>
      <c r="B22" s="319" t="s">
        <v>221</v>
      </c>
      <c r="C22" s="333">
        <f t="shared" si="2"/>
        <v>8105</v>
      </c>
      <c r="D22" s="339"/>
      <c r="E22" s="339">
        <v>8105</v>
      </c>
      <c r="F22" s="333"/>
      <c r="G22" s="333"/>
      <c r="H22" s="333"/>
      <c r="I22" s="333"/>
      <c r="J22" s="333">
        <f t="shared" si="3"/>
        <v>0</v>
      </c>
      <c r="K22" s="333"/>
      <c r="L22" s="333"/>
      <c r="M22" s="333"/>
      <c r="N22" s="333"/>
      <c r="O22" s="333">
        <v>200</v>
      </c>
      <c r="P22" s="333">
        <v>596</v>
      </c>
      <c r="Q22" s="333"/>
    </row>
    <row r="23" spans="1:17" ht="15.75">
      <c r="A23" s="318">
        <v>12</v>
      </c>
      <c r="B23" s="319" t="s">
        <v>222</v>
      </c>
      <c r="C23" s="333">
        <f t="shared" si="2"/>
        <v>10963</v>
      </c>
      <c r="D23" s="339"/>
      <c r="E23" s="339">
        <v>10963</v>
      </c>
      <c r="F23" s="333"/>
      <c r="G23" s="333"/>
      <c r="H23" s="333"/>
      <c r="I23" s="333"/>
      <c r="J23" s="333">
        <f t="shared" si="3"/>
        <v>0</v>
      </c>
      <c r="K23" s="333"/>
      <c r="L23" s="333"/>
      <c r="M23" s="333"/>
      <c r="N23" s="333"/>
      <c r="O23" s="333"/>
      <c r="P23" s="333"/>
      <c r="Q23" s="333"/>
    </row>
    <row r="24" spans="1:17" ht="15.75">
      <c r="A24" s="318">
        <v>13</v>
      </c>
      <c r="B24" s="319" t="s">
        <v>223</v>
      </c>
      <c r="C24" s="333">
        <f t="shared" si="2"/>
        <v>26788</v>
      </c>
      <c r="D24" s="339"/>
      <c r="E24" s="339">
        <v>26388</v>
      </c>
      <c r="F24" s="333"/>
      <c r="G24" s="333"/>
      <c r="H24" s="333"/>
      <c r="I24" s="333"/>
      <c r="J24" s="333">
        <f t="shared" si="3"/>
        <v>0</v>
      </c>
      <c r="K24" s="333"/>
      <c r="L24" s="333"/>
      <c r="M24" s="333"/>
      <c r="N24" s="333"/>
      <c r="O24" s="333"/>
      <c r="P24" s="333"/>
      <c r="Q24" s="333">
        <v>400</v>
      </c>
    </row>
    <row r="25" spans="1:17" ht="15.75">
      <c r="A25" s="318">
        <v>14</v>
      </c>
      <c r="B25" s="319" t="s">
        <v>224</v>
      </c>
      <c r="C25" s="333">
        <f t="shared" si="2"/>
        <v>141</v>
      </c>
      <c r="D25" s="339"/>
      <c r="E25" s="339">
        <v>141</v>
      </c>
      <c r="F25" s="333"/>
      <c r="G25" s="333"/>
      <c r="H25" s="333"/>
      <c r="I25" s="333"/>
      <c r="J25" s="333">
        <f t="shared" si="3"/>
        <v>0</v>
      </c>
      <c r="K25" s="333"/>
      <c r="L25" s="333"/>
      <c r="M25" s="333"/>
      <c r="N25" s="333"/>
      <c r="O25" s="333"/>
      <c r="P25" s="333"/>
      <c r="Q25" s="333"/>
    </row>
    <row r="26" spans="1:17" ht="15.75">
      <c r="A26" s="318">
        <v>15</v>
      </c>
      <c r="B26" s="319" t="s">
        <v>225</v>
      </c>
      <c r="C26" s="333">
        <f t="shared" si="2"/>
        <v>6177</v>
      </c>
      <c r="D26" s="339"/>
      <c r="E26" s="339">
        <v>6177</v>
      </c>
      <c r="F26" s="333"/>
      <c r="G26" s="333"/>
      <c r="H26" s="333"/>
      <c r="I26" s="333"/>
      <c r="J26" s="333">
        <f t="shared" si="3"/>
        <v>0</v>
      </c>
      <c r="K26" s="333"/>
      <c r="L26" s="333"/>
      <c r="M26" s="333"/>
      <c r="N26" s="333"/>
      <c r="O26" s="333"/>
      <c r="P26" s="333"/>
      <c r="Q26" s="333"/>
    </row>
    <row r="27" spans="1:17" ht="15.75">
      <c r="A27" s="318">
        <v>16</v>
      </c>
      <c r="B27" s="319" t="s">
        <v>226</v>
      </c>
      <c r="C27" s="333">
        <f t="shared" si="2"/>
        <v>15322</v>
      </c>
      <c r="D27" s="339"/>
      <c r="E27" s="339">
        <v>15322</v>
      </c>
      <c r="F27" s="333"/>
      <c r="G27" s="333"/>
      <c r="H27" s="333"/>
      <c r="I27" s="333"/>
      <c r="J27" s="333">
        <f t="shared" si="3"/>
        <v>0</v>
      </c>
      <c r="K27" s="333"/>
      <c r="L27" s="333"/>
      <c r="M27" s="333"/>
      <c r="N27" s="333"/>
      <c r="O27" s="333"/>
      <c r="P27" s="333"/>
      <c r="Q27" s="333"/>
    </row>
    <row r="28" spans="1:17" ht="15.75">
      <c r="A28" s="318">
        <v>17</v>
      </c>
      <c r="B28" s="319" t="s">
        <v>227</v>
      </c>
      <c r="C28" s="333">
        <f t="shared" si="2"/>
        <v>19828</v>
      </c>
      <c r="D28" s="339"/>
      <c r="E28" s="339">
        <v>16271</v>
      </c>
      <c r="F28" s="333"/>
      <c r="G28" s="333"/>
      <c r="H28" s="333"/>
      <c r="I28" s="333"/>
      <c r="J28" s="333">
        <f t="shared" si="3"/>
        <v>80</v>
      </c>
      <c r="K28" s="333"/>
      <c r="L28" s="333"/>
      <c r="M28" s="333"/>
      <c r="N28" s="333">
        <v>80</v>
      </c>
      <c r="O28" s="333"/>
      <c r="P28" s="333"/>
      <c r="Q28" s="333">
        <v>3477</v>
      </c>
    </row>
    <row r="29" spans="1:17" ht="15.75">
      <c r="A29" s="318">
        <v>18</v>
      </c>
      <c r="B29" s="319" t="s">
        <v>228</v>
      </c>
      <c r="C29" s="333">
        <f t="shared" si="2"/>
        <v>4724</v>
      </c>
      <c r="D29" s="339"/>
      <c r="E29" s="339">
        <v>4724</v>
      </c>
      <c r="F29" s="333"/>
      <c r="G29" s="333"/>
      <c r="H29" s="333"/>
      <c r="I29" s="333"/>
      <c r="J29" s="333">
        <f t="shared" si="3"/>
        <v>0</v>
      </c>
      <c r="K29" s="333"/>
      <c r="L29" s="333"/>
      <c r="M29" s="333"/>
      <c r="N29" s="333"/>
      <c r="O29" s="333">
        <v>50</v>
      </c>
      <c r="P29" s="333"/>
      <c r="Q29" s="333"/>
    </row>
    <row r="30" spans="1:17" ht="15.75">
      <c r="A30" s="318">
        <v>19</v>
      </c>
      <c r="B30" s="319" t="s">
        <v>229</v>
      </c>
      <c r="C30" s="333">
        <f t="shared" si="2"/>
        <v>11974</v>
      </c>
      <c r="D30" s="339"/>
      <c r="E30" s="339">
        <v>5418</v>
      </c>
      <c r="F30" s="333"/>
      <c r="G30" s="333"/>
      <c r="H30" s="333"/>
      <c r="I30" s="333"/>
      <c r="J30" s="333">
        <f t="shared" si="3"/>
        <v>4631</v>
      </c>
      <c r="K30" s="333"/>
      <c r="L30" s="333"/>
      <c r="M30" s="333"/>
      <c r="N30" s="333">
        <v>4631</v>
      </c>
      <c r="O30" s="333"/>
      <c r="P30" s="333"/>
      <c r="Q30" s="333">
        <v>1925</v>
      </c>
    </row>
    <row r="31" spans="1:17" ht="15.75">
      <c r="A31" s="318">
        <v>20</v>
      </c>
      <c r="B31" s="319" t="s">
        <v>230</v>
      </c>
      <c r="C31" s="333">
        <f t="shared" si="2"/>
        <v>32438</v>
      </c>
      <c r="D31" s="339"/>
      <c r="E31" s="339">
        <v>32438</v>
      </c>
      <c r="F31" s="333"/>
      <c r="G31" s="333"/>
      <c r="H31" s="333"/>
      <c r="I31" s="333"/>
      <c r="J31" s="333">
        <f t="shared" si="3"/>
        <v>0</v>
      </c>
      <c r="K31" s="333"/>
      <c r="L31" s="333"/>
      <c r="M31" s="333"/>
      <c r="N31" s="333"/>
      <c r="O31" s="333"/>
      <c r="P31" s="333">
        <v>6389</v>
      </c>
      <c r="Q31" s="333"/>
    </row>
    <row r="32" spans="1:17" ht="15.75">
      <c r="A32" s="318">
        <v>21</v>
      </c>
      <c r="B32" s="319" t="s">
        <v>231</v>
      </c>
      <c r="C32" s="333">
        <f t="shared" si="2"/>
        <v>26233</v>
      </c>
      <c r="D32" s="339"/>
      <c r="E32" s="339">
        <v>23233</v>
      </c>
      <c r="F32" s="333"/>
      <c r="G32" s="333"/>
      <c r="H32" s="333"/>
      <c r="I32" s="333"/>
      <c r="J32" s="333">
        <f t="shared" si="3"/>
        <v>0</v>
      </c>
      <c r="K32" s="333"/>
      <c r="L32" s="333"/>
      <c r="M32" s="333"/>
      <c r="N32" s="333"/>
      <c r="O32" s="333"/>
      <c r="P32" s="333"/>
      <c r="Q32" s="333">
        <v>3000</v>
      </c>
    </row>
    <row r="33" spans="1:17" ht="15.75">
      <c r="A33" s="318">
        <v>22</v>
      </c>
      <c r="B33" s="319" t="s">
        <v>232</v>
      </c>
      <c r="C33" s="333">
        <f t="shared" si="2"/>
        <v>8988</v>
      </c>
      <c r="D33" s="339"/>
      <c r="E33" s="339">
        <v>8988</v>
      </c>
      <c r="F33" s="333"/>
      <c r="G33" s="333"/>
      <c r="H33" s="333"/>
      <c r="I33" s="333"/>
      <c r="J33" s="333">
        <f t="shared" si="3"/>
        <v>0</v>
      </c>
      <c r="K33" s="333"/>
      <c r="L33" s="333"/>
      <c r="M33" s="333"/>
      <c r="N33" s="333"/>
      <c r="O33" s="333"/>
      <c r="P33" s="333"/>
      <c r="Q33" s="333"/>
    </row>
    <row r="34" spans="1:17" ht="15.75">
      <c r="A34" s="318">
        <v>23</v>
      </c>
      <c r="B34" s="319" t="s">
        <v>233</v>
      </c>
      <c r="C34" s="333">
        <f t="shared" si="2"/>
        <v>19520</v>
      </c>
      <c r="D34" s="339"/>
      <c r="E34" s="339">
        <v>16520</v>
      </c>
      <c r="F34" s="333"/>
      <c r="G34" s="333"/>
      <c r="H34" s="333"/>
      <c r="I34" s="333"/>
      <c r="J34" s="333">
        <f t="shared" si="3"/>
        <v>0</v>
      </c>
      <c r="K34" s="333"/>
      <c r="L34" s="333"/>
      <c r="M34" s="333"/>
      <c r="N34" s="333"/>
      <c r="O34" s="333"/>
      <c r="P34" s="333"/>
      <c r="Q34" s="333">
        <v>3000</v>
      </c>
    </row>
    <row r="35" spans="1:17" ht="15.75">
      <c r="A35" s="318">
        <v>24</v>
      </c>
      <c r="B35" s="319" t="s">
        <v>234</v>
      </c>
      <c r="C35" s="333">
        <f t="shared" si="2"/>
        <v>5766</v>
      </c>
      <c r="D35" s="339"/>
      <c r="E35" s="339">
        <v>5516</v>
      </c>
      <c r="F35" s="333"/>
      <c r="G35" s="333"/>
      <c r="H35" s="333"/>
      <c r="I35" s="333"/>
      <c r="J35" s="333">
        <f t="shared" si="3"/>
        <v>200</v>
      </c>
      <c r="K35" s="333"/>
      <c r="L35" s="333"/>
      <c r="M35" s="333"/>
      <c r="N35" s="333">
        <v>200</v>
      </c>
      <c r="O35" s="333"/>
      <c r="P35" s="333"/>
      <c r="Q35" s="333">
        <v>50</v>
      </c>
    </row>
    <row r="36" spans="1:17" ht="15.75">
      <c r="A36" s="318">
        <v>25</v>
      </c>
      <c r="B36" s="319" t="s">
        <v>235</v>
      </c>
      <c r="C36" s="333">
        <f t="shared" si="2"/>
        <v>7934</v>
      </c>
      <c r="D36" s="339"/>
      <c r="E36" s="339">
        <v>7834</v>
      </c>
      <c r="F36" s="333"/>
      <c r="G36" s="333"/>
      <c r="H36" s="333"/>
      <c r="I36" s="333"/>
      <c r="J36" s="333">
        <f t="shared" si="3"/>
        <v>50</v>
      </c>
      <c r="K36" s="333"/>
      <c r="L36" s="333"/>
      <c r="M36" s="333"/>
      <c r="N36" s="333">
        <v>50</v>
      </c>
      <c r="O36" s="333">
        <v>100</v>
      </c>
      <c r="P36" s="333"/>
      <c r="Q36" s="333">
        <v>50</v>
      </c>
    </row>
    <row r="37" spans="1:17" s="310" customFormat="1" ht="15.75">
      <c r="A37" s="318">
        <v>26</v>
      </c>
      <c r="B37" s="322" t="s">
        <v>236</v>
      </c>
      <c r="C37" s="333">
        <f t="shared" si="2"/>
        <v>33143</v>
      </c>
      <c r="D37" s="339"/>
      <c r="E37" s="339">
        <v>29343</v>
      </c>
      <c r="F37" s="339"/>
      <c r="G37" s="339"/>
      <c r="H37" s="339"/>
      <c r="I37" s="339"/>
      <c r="J37" s="333">
        <f t="shared" si="3"/>
        <v>1200</v>
      </c>
      <c r="K37" s="333"/>
      <c r="L37" s="333"/>
      <c r="M37" s="333"/>
      <c r="N37" s="333">
        <v>1200</v>
      </c>
      <c r="O37" s="333"/>
      <c r="P37" s="333"/>
      <c r="Q37" s="333">
        <v>2600</v>
      </c>
    </row>
    <row r="38" spans="1:17" ht="15.75">
      <c r="A38" s="318">
        <v>27</v>
      </c>
      <c r="B38" s="319" t="s">
        <v>237</v>
      </c>
      <c r="C38" s="333">
        <f t="shared" si="2"/>
        <v>2731</v>
      </c>
      <c r="D38" s="339"/>
      <c r="E38" s="339">
        <v>2681</v>
      </c>
      <c r="F38" s="333"/>
      <c r="G38" s="333"/>
      <c r="H38" s="333"/>
      <c r="I38" s="333"/>
      <c r="J38" s="339">
        <f t="shared" si="3"/>
        <v>50</v>
      </c>
      <c r="K38" s="339"/>
      <c r="L38" s="339"/>
      <c r="M38" s="339"/>
      <c r="N38" s="339">
        <v>50</v>
      </c>
      <c r="O38" s="339">
        <v>950</v>
      </c>
      <c r="P38" s="339"/>
      <c r="Q38" s="339"/>
    </row>
    <row r="39" spans="1:17" ht="15.75">
      <c r="A39" s="318">
        <v>28</v>
      </c>
      <c r="B39" s="319" t="s">
        <v>238</v>
      </c>
      <c r="C39" s="333">
        <f t="shared" si="2"/>
        <v>5444</v>
      </c>
      <c r="D39" s="339"/>
      <c r="E39" s="339">
        <v>5364</v>
      </c>
      <c r="F39" s="333"/>
      <c r="G39" s="333"/>
      <c r="H39" s="333"/>
      <c r="I39" s="333"/>
      <c r="J39" s="333">
        <f t="shared" si="3"/>
        <v>80</v>
      </c>
      <c r="K39" s="333"/>
      <c r="L39" s="333"/>
      <c r="M39" s="333"/>
      <c r="N39" s="333">
        <v>80</v>
      </c>
      <c r="O39" s="333"/>
      <c r="P39" s="333"/>
      <c r="Q39" s="333"/>
    </row>
    <row r="40" spans="1:17" ht="15.75">
      <c r="A40" s="318">
        <v>29</v>
      </c>
      <c r="B40" s="319" t="s">
        <v>239</v>
      </c>
      <c r="C40" s="333">
        <f t="shared" si="2"/>
        <v>5307</v>
      </c>
      <c r="D40" s="339"/>
      <c r="E40" s="339">
        <v>5057</v>
      </c>
      <c r="F40" s="333"/>
      <c r="G40" s="333"/>
      <c r="H40" s="333"/>
      <c r="I40" s="333"/>
      <c r="J40" s="333">
        <f t="shared" si="3"/>
        <v>200</v>
      </c>
      <c r="K40" s="333"/>
      <c r="L40" s="333"/>
      <c r="M40" s="333"/>
      <c r="N40" s="333">
        <v>200</v>
      </c>
      <c r="O40" s="333">
        <v>50</v>
      </c>
      <c r="P40" s="333"/>
      <c r="Q40" s="333">
        <v>50</v>
      </c>
    </row>
    <row r="41" spans="1:17" ht="15.75">
      <c r="A41" s="318">
        <v>30</v>
      </c>
      <c r="B41" s="319" t="s">
        <v>240</v>
      </c>
      <c r="C41" s="333">
        <f t="shared" si="2"/>
        <v>52010</v>
      </c>
      <c r="D41" s="339"/>
      <c r="E41" s="339">
        <v>52010</v>
      </c>
      <c r="F41" s="333"/>
      <c r="G41" s="333"/>
      <c r="H41" s="333"/>
      <c r="I41" s="333"/>
      <c r="J41" s="333">
        <f t="shared" si="3"/>
        <v>0</v>
      </c>
      <c r="K41" s="333"/>
      <c r="L41" s="333"/>
      <c r="M41" s="333"/>
      <c r="N41" s="333"/>
      <c r="O41" s="333">
        <v>50</v>
      </c>
      <c r="P41" s="333"/>
      <c r="Q41" s="333"/>
    </row>
    <row r="42" spans="1:17" ht="15.75">
      <c r="A42" s="318">
        <v>31</v>
      </c>
      <c r="B42" s="319" t="s">
        <v>241</v>
      </c>
      <c r="C42" s="333">
        <f t="shared" si="2"/>
        <v>20405</v>
      </c>
      <c r="D42" s="339"/>
      <c r="E42" s="339">
        <v>20055</v>
      </c>
      <c r="F42" s="333"/>
      <c r="G42" s="333"/>
      <c r="H42" s="333"/>
      <c r="I42" s="333"/>
      <c r="J42" s="333">
        <f t="shared" si="3"/>
        <v>0</v>
      </c>
      <c r="K42" s="333"/>
      <c r="L42" s="333"/>
      <c r="M42" s="333"/>
      <c r="N42" s="333"/>
      <c r="O42" s="333"/>
      <c r="P42" s="333"/>
      <c r="Q42" s="333">
        <v>350</v>
      </c>
    </row>
    <row r="43" spans="1:17" ht="15.75">
      <c r="A43" s="318">
        <v>32</v>
      </c>
      <c r="B43" s="319" t="s">
        <v>242</v>
      </c>
      <c r="C43" s="333">
        <f t="shared" si="2"/>
        <v>12788</v>
      </c>
      <c r="D43" s="339"/>
      <c r="E43" s="339">
        <v>9100</v>
      </c>
      <c r="F43" s="333"/>
      <c r="G43" s="333"/>
      <c r="H43" s="333"/>
      <c r="I43" s="333"/>
      <c r="J43" s="333">
        <f t="shared" si="3"/>
        <v>0</v>
      </c>
      <c r="K43" s="333"/>
      <c r="L43" s="333"/>
      <c r="M43" s="333"/>
      <c r="N43" s="333"/>
      <c r="O43" s="333"/>
      <c r="P43" s="333"/>
      <c r="Q43" s="333">
        <v>3688</v>
      </c>
    </row>
    <row r="44" spans="1:17" ht="15.75">
      <c r="A44" s="318">
        <v>33</v>
      </c>
      <c r="B44" s="319" t="s">
        <v>586</v>
      </c>
      <c r="C44" s="333">
        <f t="shared" si="2"/>
        <v>100</v>
      </c>
      <c r="D44" s="339"/>
      <c r="E44" s="339">
        <v>100</v>
      </c>
      <c r="F44" s="333"/>
      <c r="G44" s="333"/>
      <c r="H44" s="333"/>
      <c r="I44" s="333"/>
      <c r="J44" s="333">
        <f t="shared" si="3"/>
        <v>0</v>
      </c>
      <c r="K44" s="333"/>
      <c r="L44" s="333"/>
      <c r="M44" s="333"/>
      <c r="N44" s="333"/>
      <c r="O44" s="333"/>
      <c r="P44" s="333"/>
      <c r="Q44" s="333"/>
    </row>
    <row r="45" spans="1:17" ht="15.75">
      <c r="A45" s="318">
        <v>34</v>
      </c>
      <c r="B45" s="319" t="s">
        <v>587</v>
      </c>
      <c r="C45" s="333">
        <f t="shared" si="2"/>
        <v>150</v>
      </c>
      <c r="D45" s="339"/>
      <c r="E45" s="339">
        <v>100</v>
      </c>
      <c r="F45" s="333"/>
      <c r="G45" s="333"/>
      <c r="H45" s="333"/>
      <c r="I45" s="333"/>
      <c r="J45" s="333">
        <f t="shared" si="3"/>
        <v>0</v>
      </c>
      <c r="K45" s="333"/>
      <c r="L45" s="333"/>
      <c r="M45" s="333"/>
      <c r="N45" s="333"/>
      <c r="O45" s="333"/>
      <c r="P45" s="333"/>
      <c r="Q45" s="333">
        <v>50</v>
      </c>
    </row>
    <row r="46" spans="1:17" ht="15.75">
      <c r="A46" s="318">
        <v>35</v>
      </c>
      <c r="B46" s="319" t="s">
        <v>588</v>
      </c>
      <c r="C46" s="333">
        <f t="shared" si="2"/>
        <v>150</v>
      </c>
      <c r="D46" s="339"/>
      <c r="E46" s="339">
        <v>100</v>
      </c>
      <c r="F46" s="333"/>
      <c r="G46" s="333"/>
      <c r="H46" s="333"/>
      <c r="I46" s="333"/>
      <c r="J46" s="333">
        <f t="shared" si="3"/>
        <v>0</v>
      </c>
      <c r="K46" s="333"/>
      <c r="L46" s="333"/>
      <c r="M46" s="333"/>
      <c r="N46" s="333"/>
      <c r="O46" s="333"/>
      <c r="P46" s="333"/>
      <c r="Q46" s="333">
        <v>50</v>
      </c>
    </row>
    <row r="47" spans="1:17" ht="15.75">
      <c r="A47" s="318">
        <v>36</v>
      </c>
      <c r="B47" s="319" t="s">
        <v>573</v>
      </c>
      <c r="C47" s="333">
        <f t="shared" si="2"/>
        <v>500</v>
      </c>
      <c r="D47" s="339"/>
      <c r="E47" s="339">
        <v>500</v>
      </c>
      <c r="F47" s="333"/>
      <c r="G47" s="333"/>
      <c r="H47" s="333"/>
      <c r="I47" s="333"/>
      <c r="J47" s="333">
        <f t="shared" si="3"/>
        <v>0</v>
      </c>
      <c r="K47" s="333"/>
      <c r="L47" s="333"/>
      <c r="M47" s="333"/>
      <c r="N47" s="333"/>
      <c r="O47" s="333"/>
      <c r="P47" s="333"/>
      <c r="Q47" s="333"/>
    </row>
    <row r="48" spans="1:17" ht="15.75">
      <c r="A48" s="318">
        <v>37</v>
      </c>
      <c r="B48" s="319" t="s">
        <v>243</v>
      </c>
      <c r="C48" s="333">
        <f t="shared" si="2"/>
        <v>10788</v>
      </c>
      <c r="D48" s="339"/>
      <c r="E48" s="339">
        <v>10788</v>
      </c>
      <c r="F48" s="333"/>
      <c r="G48" s="333"/>
      <c r="H48" s="333"/>
      <c r="I48" s="333"/>
      <c r="J48" s="333">
        <f t="shared" si="3"/>
        <v>0</v>
      </c>
      <c r="K48" s="333"/>
      <c r="L48" s="333"/>
      <c r="M48" s="333"/>
      <c r="N48" s="333"/>
      <c r="O48" s="333"/>
      <c r="P48" s="333"/>
      <c r="Q48" s="333"/>
    </row>
    <row r="49" spans="1:17" ht="15.75">
      <c r="A49" s="318">
        <v>38</v>
      </c>
      <c r="B49" s="319" t="s">
        <v>244</v>
      </c>
      <c r="C49" s="333">
        <f t="shared" si="2"/>
        <v>11922</v>
      </c>
      <c r="D49" s="339"/>
      <c r="E49" s="339">
        <v>8442</v>
      </c>
      <c r="F49" s="333"/>
      <c r="G49" s="333"/>
      <c r="H49" s="333"/>
      <c r="I49" s="333"/>
      <c r="J49" s="333">
        <f t="shared" si="3"/>
        <v>2430</v>
      </c>
      <c r="K49" s="333"/>
      <c r="L49" s="333"/>
      <c r="M49" s="333"/>
      <c r="N49" s="333">
        <v>2430</v>
      </c>
      <c r="O49" s="333"/>
      <c r="P49" s="333"/>
      <c r="Q49" s="333">
        <v>1050</v>
      </c>
    </row>
    <row r="50" spans="1:17" ht="15.75">
      <c r="A50" s="318">
        <v>39</v>
      </c>
      <c r="B50" s="319" t="s">
        <v>245</v>
      </c>
      <c r="C50" s="333">
        <f t="shared" si="2"/>
        <v>19266</v>
      </c>
      <c r="D50" s="339"/>
      <c r="E50" s="339">
        <v>19266</v>
      </c>
      <c r="F50" s="333"/>
      <c r="G50" s="333"/>
      <c r="H50" s="333"/>
      <c r="I50" s="333"/>
      <c r="J50" s="333">
        <f t="shared" si="3"/>
        <v>0</v>
      </c>
      <c r="K50" s="333"/>
      <c r="L50" s="333"/>
      <c r="M50" s="333"/>
      <c r="N50" s="333"/>
      <c r="O50" s="333">
        <v>300</v>
      </c>
      <c r="P50" s="333">
        <v>255</v>
      </c>
      <c r="Q50" s="333"/>
    </row>
    <row r="51" spans="1:17" ht="15.75">
      <c r="A51" s="318">
        <v>40</v>
      </c>
      <c r="B51" s="319" t="s">
        <v>246</v>
      </c>
      <c r="C51" s="333">
        <f t="shared" si="2"/>
        <v>93</v>
      </c>
      <c r="D51" s="339"/>
      <c r="E51" s="339">
        <v>93</v>
      </c>
      <c r="F51" s="333"/>
      <c r="G51" s="333"/>
      <c r="H51" s="333"/>
      <c r="I51" s="333"/>
      <c r="J51" s="333">
        <f t="shared" si="3"/>
        <v>0</v>
      </c>
      <c r="K51" s="333"/>
      <c r="L51" s="333"/>
      <c r="M51" s="333"/>
      <c r="N51" s="333"/>
      <c r="O51" s="333"/>
      <c r="P51" s="333"/>
      <c r="Q51" s="333"/>
    </row>
    <row r="52" spans="1:17" ht="15.75">
      <c r="A52" s="318">
        <v>41</v>
      </c>
      <c r="B52" s="319" t="s">
        <v>247</v>
      </c>
      <c r="C52" s="333">
        <f t="shared" si="2"/>
        <v>650</v>
      </c>
      <c r="D52" s="339"/>
      <c r="E52" s="339">
        <v>650</v>
      </c>
      <c r="F52" s="333"/>
      <c r="G52" s="333"/>
      <c r="H52" s="333"/>
      <c r="I52" s="333"/>
      <c r="J52" s="333">
        <f t="shared" si="3"/>
        <v>0</v>
      </c>
      <c r="K52" s="333"/>
      <c r="L52" s="333"/>
      <c r="M52" s="333"/>
      <c r="N52" s="333"/>
      <c r="O52" s="333"/>
      <c r="P52" s="333"/>
      <c r="Q52" s="333"/>
    </row>
    <row r="53" spans="1:17" ht="15.75">
      <c r="A53" s="318">
        <v>42</v>
      </c>
      <c r="B53" s="319" t="s">
        <v>589</v>
      </c>
      <c r="C53" s="333">
        <f t="shared" si="2"/>
        <v>43630</v>
      </c>
      <c r="D53" s="339"/>
      <c r="E53" s="339">
        <v>43630</v>
      </c>
      <c r="F53" s="333"/>
      <c r="G53" s="333"/>
      <c r="H53" s="333"/>
      <c r="I53" s="333"/>
      <c r="J53" s="333">
        <f t="shared" si="3"/>
        <v>0</v>
      </c>
      <c r="K53" s="333"/>
      <c r="L53" s="333"/>
      <c r="M53" s="333"/>
      <c r="N53" s="333"/>
      <c r="O53" s="333"/>
      <c r="P53" s="333"/>
      <c r="Q53" s="333"/>
    </row>
    <row r="54" spans="1:17" s="310" customFormat="1" ht="15.75">
      <c r="A54" s="318">
        <v>43</v>
      </c>
      <c r="B54" s="83" t="s">
        <v>569</v>
      </c>
      <c r="C54" s="333">
        <f t="shared" si="2"/>
        <v>50</v>
      </c>
      <c r="D54" s="339"/>
      <c r="E54" s="339">
        <v>50</v>
      </c>
      <c r="F54" s="339"/>
      <c r="G54" s="339"/>
      <c r="H54" s="339"/>
      <c r="I54" s="339"/>
      <c r="J54" s="333">
        <f t="shared" si="3"/>
        <v>0</v>
      </c>
      <c r="K54" s="333"/>
      <c r="L54" s="333"/>
      <c r="M54" s="333"/>
      <c r="N54" s="333"/>
      <c r="O54" s="333"/>
      <c r="P54" s="333"/>
      <c r="Q54" s="333"/>
    </row>
    <row r="55" spans="1:17" s="310" customFormat="1" ht="15.75">
      <c r="A55" s="318">
        <v>44</v>
      </c>
      <c r="B55" s="453" t="s">
        <v>581</v>
      </c>
      <c r="C55" s="333">
        <f t="shared" si="2"/>
        <v>1300</v>
      </c>
      <c r="D55" s="339"/>
      <c r="E55" s="339">
        <v>0</v>
      </c>
      <c r="F55" s="339"/>
      <c r="G55" s="339"/>
      <c r="H55" s="339"/>
      <c r="I55" s="339"/>
      <c r="J55" s="333">
        <f t="shared" si="3"/>
        <v>1300</v>
      </c>
      <c r="K55" s="339"/>
      <c r="L55" s="339"/>
      <c r="M55" s="339"/>
      <c r="N55" s="333">
        <v>1300</v>
      </c>
      <c r="O55" s="339"/>
      <c r="P55" s="339"/>
      <c r="Q55" s="339"/>
    </row>
    <row r="56" spans="1:17" s="310" customFormat="1" ht="15.75">
      <c r="A56" s="318">
        <v>45</v>
      </c>
      <c r="B56" s="453" t="s">
        <v>248</v>
      </c>
      <c r="C56" s="333">
        <f t="shared" si="2"/>
        <v>486</v>
      </c>
      <c r="D56" s="339"/>
      <c r="E56" s="339">
        <v>486</v>
      </c>
      <c r="F56" s="339"/>
      <c r="G56" s="339"/>
      <c r="H56" s="339"/>
      <c r="I56" s="339"/>
      <c r="J56" s="333">
        <f t="shared" si="3"/>
        <v>0</v>
      </c>
      <c r="K56" s="339"/>
      <c r="L56" s="339"/>
      <c r="M56" s="339"/>
      <c r="N56" s="333"/>
      <c r="O56" s="339"/>
      <c r="P56" s="339"/>
      <c r="Q56" s="339"/>
    </row>
    <row r="57" spans="1:17" s="310" customFormat="1" ht="15.75">
      <c r="A57" s="318">
        <v>46</v>
      </c>
      <c r="B57" s="83" t="s">
        <v>582</v>
      </c>
      <c r="C57" s="333">
        <f t="shared" si="2"/>
        <v>2000</v>
      </c>
      <c r="D57" s="339"/>
      <c r="E57" s="339">
        <v>2000</v>
      </c>
      <c r="F57" s="339"/>
      <c r="G57" s="339"/>
      <c r="H57" s="339"/>
      <c r="I57" s="339"/>
      <c r="J57" s="333">
        <f t="shared" si="3"/>
        <v>0</v>
      </c>
      <c r="K57" s="339"/>
      <c r="L57" s="339"/>
      <c r="M57" s="339"/>
      <c r="N57" s="333"/>
      <c r="O57" s="339"/>
      <c r="P57" s="339"/>
      <c r="Q57" s="339"/>
    </row>
    <row r="58" spans="1:17" s="310" customFormat="1" ht="15.75">
      <c r="A58" s="318">
        <v>47</v>
      </c>
      <c r="B58" s="83" t="s">
        <v>570</v>
      </c>
      <c r="C58" s="333">
        <f t="shared" si="2"/>
        <v>348370</v>
      </c>
      <c r="D58" s="339"/>
      <c r="E58" s="339">
        <v>348370</v>
      </c>
      <c r="F58" s="339"/>
      <c r="G58" s="339"/>
      <c r="H58" s="339"/>
      <c r="I58" s="339"/>
      <c r="J58" s="333">
        <f t="shared" si="3"/>
        <v>0</v>
      </c>
      <c r="K58" s="339"/>
      <c r="L58" s="339"/>
      <c r="M58" s="339"/>
      <c r="N58" s="333"/>
      <c r="O58" s="339"/>
      <c r="P58" s="339"/>
      <c r="Q58" s="339"/>
    </row>
    <row r="59" spans="1:17" s="310" customFormat="1" ht="15.75">
      <c r="A59" s="318">
        <v>48</v>
      </c>
      <c r="B59" s="83" t="s">
        <v>571</v>
      </c>
      <c r="C59" s="333">
        <f t="shared" si="2"/>
        <v>150</v>
      </c>
      <c r="D59" s="339"/>
      <c r="E59" s="339">
        <v>150</v>
      </c>
      <c r="F59" s="339"/>
      <c r="G59" s="339"/>
      <c r="H59" s="339"/>
      <c r="I59" s="339"/>
      <c r="J59" s="333">
        <f t="shared" si="3"/>
        <v>0</v>
      </c>
      <c r="K59" s="339"/>
      <c r="L59" s="339"/>
      <c r="M59" s="339"/>
      <c r="N59" s="333"/>
      <c r="O59" s="339"/>
      <c r="P59" s="339"/>
      <c r="Q59" s="339"/>
    </row>
    <row r="60" spans="1:17" s="452" customFormat="1" ht="15.75">
      <c r="A60" s="451" t="s">
        <v>10</v>
      </c>
      <c r="B60" s="89" t="s">
        <v>572</v>
      </c>
      <c r="C60" s="342">
        <f aca="true" t="shared" si="4" ref="C60:C72">SUM(D60:J60,Q60)</f>
        <v>13900</v>
      </c>
      <c r="D60" s="341">
        <f>SUM(D61:D72)</f>
        <v>0</v>
      </c>
      <c r="E60" s="341">
        <f>SUM(E61:E72)</f>
        <v>13320</v>
      </c>
      <c r="F60" s="341"/>
      <c r="G60" s="341"/>
      <c r="H60" s="341"/>
      <c r="I60" s="341"/>
      <c r="J60" s="341">
        <f>SUM(J61:J72)</f>
        <v>0</v>
      </c>
      <c r="K60" s="341">
        <f>SUM(K61:K72)</f>
        <v>0</v>
      </c>
      <c r="L60" s="339"/>
      <c r="M60" s="339"/>
      <c r="N60" s="341">
        <f>SUM(N61:N72)</f>
        <v>0</v>
      </c>
      <c r="O60" s="339"/>
      <c r="P60" s="339"/>
      <c r="Q60" s="341">
        <f>SUM(Q61:Q72)</f>
        <v>580</v>
      </c>
    </row>
    <row r="61" spans="1:17" s="310" customFormat="1" ht="15.75">
      <c r="A61" s="321">
        <v>1</v>
      </c>
      <c r="B61" s="83" t="s">
        <v>249</v>
      </c>
      <c r="C61" s="333">
        <f>SUM(D61:J61,Q61)</f>
        <v>2966</v>
      </c>
      <c r="D61" s="339"/>
      <c r="E61" s="339">
        <v>2966</v>
      </c>
      <c r="F61" s="339"/>
      <c r="G61" s="339"/>
      <c r="H61" s="339"/>
      <c r="I61" s="339"/>
      <c r="J61" s="333">
        <f t="shared" si="3"/>
        <v>0</v>
      </c>
      <c r="K61" s="341"/>
      <c r="L61" s="341"/>
      <c r="M61" s="341"/>
      <c r="N61" s="342"/>
      <c r="O61" s="341"/>
      <c r="P61" s="341"/>
      <c r="Q61" s="341"/>
    </row>
    <row r="62" spans="1:17" s="310" customFormat="1" ht="15.75">
      <c r="A62" s="321">
        <v>2</v>
      </c>
      <c r="B62" s="83" t="s">
        <v>250</v>
      </c>
      <c r="C62" s="333">
        <f t="shared" si="4"/>
        <v>2436</v>
      </c>
      <c r="D62" s="339"/>
      <c r="E62" s="339">
        <v>1951</v>
      </c>
      <c r="F62" s="339"/>
      <c r="G62" s="339"/>
      <c r="H62" s="339"/>
      <c r="I62" s="339"/>
      <c r="J62" s="333">
        <f t="shared" si="3"/>
        <v>0</v>
      </c>
      <c r="K62" s="339"/>
      <c r="L62" s="339"/>
      <c r="M62" s="339"/>
      <c r="N62" s="333">
        <f>SUM(N63:N74)</f>
        <v>0</v>
      </c>
      <c r="O62" s="339"/>
      <c r="P62" s="339"/>
      <c r="Q62" s="339">
        <v>485</v>
      </c>
    </row>
    <row r="63" spans="1:17" s="310" customFormat="1" ht="15.75">
      <c r="A63" s="321">
        <v>3</v>
      </c>
      <c r="B63" s="322" t="s">
        <v>251</v>
      </c>
      <c r="C63" s="333">
        <f t="shared" si="4"/>
        <v>436</v>
      </c>
      <c r="D63" s="339"/>
      <c r="E63" s="339">
        <v>436</v>
      </c>
      <c r="F63" s="339"/>
      <c r="G63" s="339"/>
      <c r="H63" s="339"/>
      <c r="I63" s="339"/>
      <c r="J63" s="333">
        <f t="shared" si="3"/>
        <v>0</v>
      </c>
      <c r="K63" s="339"/>
      <c r="L63" s="339"/>
      <c r="M63" s="339"/>
      <c r="N63" s="333"/>
      <c r="O63" s="339"/>
      <c r="P63" s="339"/>
      <c r="Q63" s="339"/>
    </row>
    <row r="64" spans="1:17" s="310" customFormat="1" ht="15.75">
      <c r="A64" s="321">
        <v>4</v>
      </c>
      <c r="B64" s="322" t="s">
        <v>252</v>
      </c>
      <c r="C64" s="333">
        <f t="shared" si="4"/>
        <v>405</v>
      </c>
      <c r="D64" s="339"/>
      <c r="E64" s="339">
        <v>405</v>
      </c>
      <c r="F64" s="339"/>
      <c r="G64" s="339"/>
      <c r="H64" s="339"/>
      <c r="I64" s="339"/>
      <c r="J64" s="333">
        <f t="shared" si="3"/>
        <v>0</v>
      </c>
      <c r="K64" s="339"/>
      <c r="L64" s="339"/>
      <c r="M64" s="339"/>
      <c r="N64" s="333"/>
      <c r="O64" s="339"/>
      <c r="P64" s="339"/>
      <c r="Q64" s="339"/>
    </row>
    <row r="65" spans="1:17" s="310" customFormat="1" ht="15.75">
      <c r="A65" s="321">
        <v>5</v>
      </c>
      <c r="B65" s="322" t="s">
        <v>253</v>
      </c>
      <c r="C65" s="333">
        <f t="shared" si="4"/>
        <v>1243</v>
      </c>
      <c r="D65" s="339"/>
      <c r="E65" s="339">
        <v>1243</v>
      </c>
      <c r="F65" s="339"/>
      <c r="G65" s="339"/>
      <c r="H65" s="339"/>
      <c r="I65" s="339"/>
      <c r="J65" s="339">
        <f t="shared" si="3"/>
        <v>0</v>
      </c>
      <c r="K65" s="339"/>
      <c r="L65" s="339"/>
      <c r="M65" s="339"/>
      <c r="N65" s="333"/>
      <c r="O65" s="339"/>
      <c r="P65" s="339"/>
      <c r="Q65" s="339"/>
    </row>
    <row r="66" spans="1:17" s="310" customFormat="1" ht="15.75">
      <c r="A66" s="321">
        <v>6</v>
      </c>
      <c r="B66" s="322" t="s">
        <v>254</v>
      </c>
      <c r="C66" s="333">
        <f t="shared" si="4"/>
        <v>1127</v>
      </c>
      <c r="D66" s="339"/>
      <c r="E66" s="339">
        <v>1127</v>
      </c>
      <c r="F66" s="339"/>
      <c r="G66" s="339"/>
      <c r="H66" s="339"/>
      <c r="I66" s="339"/>
      <c r="J66" s="339">
        <f t="shared" si="3"/>
        <v>0</v>
      </c>
      <c r="K66" s="339"/>
      <c r="L66" s="339"/>
      <c r="M66" s="339"/>
      <c r="N66" s="333"/>
      <c r="O66" s="339"/>
      <c r="P66" s="339"/>
      <c r="Q66" s="339"/>
    </row>
    <row r="67" spans="1:17" s="310" customFormat="1" ht="15.75">
      <c r="A67" s="321">
        <v>7</v>
      </c>
      <c r="B67" s="322" t="s">
        <v>255</v>
      </c>
      <c r="C67" s="333">
        <f t="shared" si="4"/>
        <v>257</v>
      </c>
      <c r="D67" s="339"/>
      <c r="E67" s="339">
        <v>257</v>
      </c>
      <c r="F67" s="339"/>
      <c r="G67" s="339"/>
      <c r="H67" s="339"/>
      <c r="I67" s="339"/>
      <c r="J67" s="339">
        <f t="shared" si="3"/>
        <v>0</v>
      </c>
      <c r="K67" s="339"/>
      <c r="L67" s="339"/>
      <c r="M67" s="339"/>
      <c r="N67" s="333"/>
      <c r="O67" s="339"/>
      <c r="P67" s="339"/>
      <c r="Q67" s="339"/>
    </row>
    <row r="68" spans="1:17" ht="15.75">
      <c r="A68" s="321">
        <v>8</v>
      </c>
      <c r="B68" s="319" t="s">
        <v>256</v>
      </c>
      <c r="C68" s="333">
        <f t="shared" si="4"/>
        <v>1245</v>
      </c>
      <c r="D68" s="339"/>
      <c r="E68" s="339">
        <v>1150</v>
      </c>
      <c r="F68" s="333"/>
      <c r="G68" s="333"/>
      <c r="H68" s="333"/>
      <c r="I68" s="333"/>
      <c r="J68" s="339">
        <f t="shared" si="3"/>
        <v>0</v>
      </c>
      <c r="K68" s="339"/>
      <c r="L68" s="339"/>
      <c r="M68" s="339"/>
      <c r="N68" s="333"/>
      <c r="O68" s="339"/>
      <c r="P68" s="339"/>
      <c r="Q68" s="339">
        <v>95</v>
      </c>
    </row>
    <row r="69" spans="1:17" ht="15.75">
      <c r="A69" s="321">
        <v>9</v>
      </c>
      <c r="B69" s="319" t="s">
        <v>257</v>
      </c>
      <c r="C69" s="333">
        <f t="shared" si="4"/>
        <v>325</v>
      </c>
      <c r="D69" s="339"/>
      <c r="E69" s="339">
        <v>325</v>
      </c>
      <c r="F69" s="333"/>
      <c r="G69" s="333"/>
      <c r="H69" s="333"/>
      <c r="I69" s="333"/>
      <c r="J69" s="333">
        <f t="shared" si="3"/>
        <v>0</v>
      </c>
      <c r="K69" s="333"/>
      <c r="L69" s="333"/>
      <c r="M69" s="333"/>
      <c r="N69" s="333"/>
      <c r="O69" s="333"/>
      <c r="P69" s="333"/>
      <c r="Q69" s="333"/>
    </row>
    <row r="70" spans="1:17" ht="15.75">
      <c r="A70" s="321">
        <v>10</v>
      </c>
      <c r="B70" s="319" t="s">
        <v>258</v>
      </c>
      <c r="C70" s="333">
        <f t="shared" si="4"/>
        <v>429</v>
      </c>
      <c r="D70" s="339"/>
      <c r="E70" s="339">
        <v>429</v>
      </c>
      <c r="F70" s="333"/>
      <c r="G70" s="333"/>
      <c r="H70" s="333"/>
      <c r="I70" s="333"/>
      <c r="J70" s="333">
        <f t="shared" si="3"/>
        <v>0</v>
      </c>
      <c r="K70" s="333"/>
      <c r="L70" s="333"/>
      <c r="M70" s="333"/>
      <c r="N70" s="333"/>
      <c r="O70" s="333"/>
      <c r="P70" s="333"/>
      <c r="Q70" s="333"/>
    </row>
    <row r="71" spans="1:17" ht="15.75">
      <c r="A71" s="321">
        <v>11</v>
      </c>
      <c r="B71" s="319" t="s">
        <v>575</v>
      </c>
      <c r="C71" s="333">
        <f t="shared" si="4"/>
        <v>2646</v>
      </c>
      <c r="D71" s="339"/>
      <c r="E71" s="339">
        <v>2646</v>
      </c>
      <c r="F71" s="333"/>
      <c r="G71" s="333"/>
      <c r="H71" s="333"/>
      <c r="I71" s="333"/>
      <c r="J71" s="333">
        <f t="shared" si="3"/>
        <v>0</v>
      </c>
      <c r="K71" s="333"/>
      <c r="L71" s="333"/>
      <c r="M71" s="333"/>
      <c r="N71" s="333"/>
      <c r="O71" s="333"/>
      <c r="P71" s="333"/>
      <c r="Q71" s="333"/>
    </row>
    <row r="72" spans="1:17" ht="15.75">
      <c r="A72" s="321">
        <v>12</v>
      </c>
      <c r="B72" s="319" t="s">
        <v>259</v>
      </c>
      <c r="C72" s="333">
        <f t="shared" si="4"/>
        <v>385</v>
      </c>
      <c r="D72" s="339"/>
      <c r="E72" s="339">
        <v>385</v>
      </c>
      <c r="F72" s="333"/>
      <c r="G72" s="333"/>
      <c r="H72" s="333"/>
      <c r="I72" s="333"/>
      <c r="J72" s="333">
        <f t="shared" si="3"/>
        <v>0</v>
      </c>
      <c r="K72" s="333"/>
      <c r="L72" s="333"/>
      <c r="M72" s="333"/>
      <c r="N72" s="333"/>
      <c r="O72" s="333"/>
      <c r="P72" s="333"/>
      <c r="Q72" s="333"/>
    </row>
    <row r="73" spans="1:17" s="325" customFormat="1" ht="31.5">
      <c r="A73" s="323" t="s">
        <v>10</v>
      </c>
      <c r="B73" s="324" t="s">
        <v>359</v>
      </c>
      <c r="C73" s="340">
        <f>SUM(D73:J73,Q74)</f>
        <v>1261</v>
      </c>
      <c r="D73" s="341"/>
      <c r="E73" s="341"/>
      <c r="F73" s="342">
        <v>1261</v>
      </c>
      <c r="G73" s="342"/>
      <c r="H73" s="342"/>
      <c r="I73" s="342"/>
      <c r="J73" s="333"/>
      <c r="K73" s="333"/>
      <c r="L73" s="333"/>
      <c r="M73" s="333"/>
      <c r="N73" s="333"/>
      <c r="O73" s="333"/>
      <c r="P73" s="333"/>
      <c r="Q73" s="333"/>
    </row>
    <row r="74" spans="1:17" s="325" customFormat="1" ht="15.75">
      <c r="A74" s="323" t="s">
        <v>14</v>
      </c>
      <c r="B74" s="324" t="s">
        <v>435</v>
      </c>
      <c r="C74" s="340">
        <f>SUM(D74:J74,Q75)</f>
        <v>1000</v>
      </c>
      <c r="D74" s="341"/>
      <c r="E74" s="341"/>
      <c r="F74" s="342"/>
      <c r="G74" s="342">
        <v>1000</v>
      </c>
      <c r="H74" s="342"/>
      <c r="I74" s="342"/>
      <c r="J74" s="332"/>
      <c r="K74" s="342"/>
      <c r="L74" s="342"/>
      <c r="M74" s="342"/>
      <c r="N74" s="342"/>
      <c r="O74" s="342"/>
      <c r="P74" s="342"/>
      <c r="Q74" s="342"/>
    </row>
    <row r="75" spans="1:17" s="325" customFormat="1" ht="15.75">
      <c r="A75" s="323" t="s">
        <v>15</v>
      </c>
      <c r="B75" s="324" t="s">
        <v>360</v>
      </c>
      <c r="C75" s="342">
        <f>SUM(D75:J75,Q76)</f>
        <v>55245</v>
      </c>
      <c r="D75" s="341"/>
      <c r="E75" s="341"/>
      <c r="F75" s="342"/>
      <c r="G75" s="342"/>
      <c r="H75" s="342">
        <v>55245</v>
      </c>
      <c r="I75" s="342"/>
      <c r="J75" s="332"/>
      <c r="K75" s="342"/>
      <c r="L75" s="342"/>
      <c r="M75" s="342"/>
      <c r="N75" s="342"/>
      <c r="O75" s="342"/>
      <c r="P75" s="342"/>
      <c r="Q75" s="342"/>
    </row>
    <row r="76" spans="1:17" s="325" customFormat="1" ht="31.5">
      <c r="A76" s="323" t="s">
        <v>92</v>
      </c>
      <c r="B76" s="324" t="s">
        <v>361</v>
      </c>
      <c r="C76" s="340">
        <f>SUM(D76:J76,Q77)</f>
        <v>30124</v>
      </c>
      <c r="D76" s="341"/>
      <c r="E76" s="341"/>
      <c r="F76" s="342"/>
      <c r="G76" s="342"/>
      <c r="H76" s="342"/>
      <c r="I76" s="342">
        <v>30124</v>
      </c>
      <c r="J76" s="333"/>
      <c r="K76" s="342"/>
      <c r="L76" s="342"/>
      <c r="M76" s="342"/>
      <c r="N76" s="342"/>
      <c r="O76" s="342"/>
      <c r="P76" s="342"/>
      <c r="Q76" s="342"/>
    </row>
    <row r="77" spans="1:19" ht="31.5">
      <c r="A77" s="323" t="s">
        <v>269</v>
      </c>
      <c r="B77" s="324" t="s">
        <v>362</v>
      </c>
      <c r="C77" s="343">
        <v>5116090</v>
      </c>
      <c r="D77" s="344"/>
      <c r="E77" s="344"/>
      <c r="F77" s="343"/>
      <c r="G77" s="343"/>
      <c r="H77" s="343"/>
      <c r="I77" s="343"/>
      <c r="J77" s="332"/>
      <c r="K77" s="342"/>
      <c r="L77" s="342"/>
      <c r="M77" s="342"/>
      <c r="N77" s="342"/>
      <c r="O77" s="342"/>
      <c r="P77" s="342"/>
      <c r="Q77" s="342"/>
      <c r="R77" s="293">
        <v>11518</v>
      </c>
      <c r="S77" s="299">
        <f>SUM(E77)</f>
        <v>0</v>
      </c>
    </row>
    <row r="78" spans="1:19" ht="31.5">
      <c r="A78" s="323" t="s">
        <v>363</v>
      </c>
      <c r="B78" s="324" t="s">
        <v>354</v>
      </c>
      <c r="C78" s="340">
        <f>SUM(D78:J78,Q79)</f>
        <v>0</v>
      </c>
      <c r="D78" s="339"/>
      <c r="E78" s="339"/>
      <c r="F78" s="333"/>
      <c r="G78" s="333"/>
      <c r="H78" s="333"/>
      <c r="I78" s="333"/>
      <c r="J78" s="343"/>
      <c r="K78" s="343"/>
      <c r="L78" s="343"/>
      <c r="M78" s="343"/>
      <c r="N78" s="343"/>
      <c r="O78" s="343"/>
      <c r="P78" s="343"/>
      <c r="Q78" s="343"/>
      <c r="S78" s="293">
        <v>29462</v>
      </c>
    </row>
    <row r="79" spans="1:19" ht="15.75" customHeight="1">
      <c r="A79" s="326"/>
      <c r="B79" s="327"/>
      <c r="C79" s="328"/>
      <c r="D79" s="329"/>
      <c r="E79" s="329"/>
      <c r="F79" s="328"/>
      <c r="G79" s="328"/>
      <c r="H79" s="328"/>
      <c r="I79" s="328"/>
      <c r="J79" s="526"/>
      <c r="K79" s="527"/>
      <c r="L79" s="527"/>
      <c r="M79" s="527"/>
      <c r="N79" s="527"/>
      <c r="O79" s="527"/>
      <c r="P79" s="527"/>
      <c r="Q79" s="527"/>
      <c r="S79" s="299">
        <f>SUM(S77:S78)</f>
        <v>29462</v>
      </c>
    </row>
    <row r="80" spans="1:17" ht="18.75">
      <c r="A80" s="454"/>
      <c r="B80" s="455"/>
      <c r="C80" s="294"/>
      <c r="D80" s="330"/>
      <c r="E80" s="330"/>
      <c r="F80" s="294"/>
      <c r="G80" s="294"/>
      <c r="H80" s="294"/>
      <c r="I80" s="294"/>
      <c r="J80" s="528"/>
      <c r="K80" s="528"/>
      <c r="L80" s="528"/>
      <c r="M80" s="528"/>
      <c r="N80" s="528"/>
      <c r="O80" s="528"/>
      <c r="P80" s="528"/>
      <c r="Q80" s="528"/>
    </row>
    <row r="81" spans="1:17" ht="33" customHeight="1">
      <c r="A81" s="621" t="s">
        <v>576</v>
      </c>
      <c r="B81" s="621"/>
      <c r="C81" s="621"/>
      <c r="D81" s="621"/>
      <c r="E81" s="621"/>
      <c r="F81" s="621"/>
      <c r="G81" s="621"/>
      <c r="H81" s="621"/>
      <c r="I81" s="621"/>
      <c r="J81" s="294"/>
      <c r="K81" s="294"/>
      <c r="L81" s="294"/>
      <c r="M81" s="294"/>
      <c r="N81" s="294"/>
      <c r="O81" s="294"/>
      <c r="P81" s="294"/>
      <c r="Q81" s="294"/>
    </row>
    <row r="82" spans="3:17" ht="18.75">
      <c r="C82" s="294"/>
      <c r="D82" s="330"/>
      <c r="E82" s="330"/>
      <c r="F82" s="294"/>
      <c r="G82" s="294"/>
      <c r="H82" s="294"/>
      <c r="I82" s="294"/>
      <c r="J82" s="489"/>
      <c r="K82" s="489"/>
      <c r="L82" s="489"/>
      <c r="M82" s="489"/>
      <c r="N82" s="489"/>
      <c r="O82" s="489"/>
      <c r="P82" s="489"/>
      <c r="Q82" s="489"/>
    </row>
    <row r="83" spans="3:17" ht="18.75">
      <c r="C83" s="294"/>
      <c r="D83" s="330"/>
      <c r="E83" s="330"/>
      <c r="F83" s="294"/>
      <c r="G83" s="294"/>
      <c r="H83" s="294"/>
      <c r="I83" s="294"/>
      <c r="J83" s="294"/>
      <c r="K83" s="294"/>
      <c r="L83" s="294"/>
      <c r="M83" s="294"/>
      <c r="N83" s="294"/>
      <c r="O83" s="294"/>
      <c r="P83" s="294"/>
      <c r="Q83" s="294"/>
    </row>
    <row r="84" spans="3:17" ht="18.75">
      <c r="C84" s="294"/>
      <c r="D84" s="330"/>
      <c r="E84" s="330"/>
      <c r="F84" s="294"/>
      <c r="G84" s="294"/>
      <c r="H84" s="294"/>
      <c r="I84" s="294"/>
      <c r="J84" s="294"/>
      <c r="K84" s="294"/>
      <c r="L84" s="294"/>
      <c r="M84" s="294"/>
      <c r="N84" s="294"/>
      <c r="O84" s="294"/>
      <c r="P84" s="294"/>
      <c r="Q84" s="294"/>
    </row>
    <row r="85" spans="3:17" ht="18.75">
      <c r="C85" s="294"/>
      <c r="D85" s="330"/>
      <c r="E85" s="330"/>
      <c r="F85" s="294"/>
      <c r="G85" s="294"/>
      <c r="H85" s="294"/>
      <c r="I85" s="294"/>
      <c r="J85" s="294"/>
      <c r="K85" s="294"/>
      <c r="L85" s="294"/>
      <c r="M85" s="294"/>
      <c r="N85" s="294"/>
      <c r="O85" s="294"/>
      <c r="P85" s="294"/>
      <c r="Q85" s="294"/>
    </row>
    <row r="86" spans="3:17" ht="18.75">
      <c r="C86" s="294"/>
      <c r="D86" s="330"/>
      <c r="E86" s="330"/>
      <c r="F86" s="294"/>
      <c r="G86" s="294"/>
      <c r="H86" s="294"/>
      <c r="I86" s="294"/>
      <c r="J86" s="294"/>
      <c r="K86" s="294"/>
      <c r="L86" s="294"/>
      <c r="M86" s="294"/>
      <c r="N86" s="294"/>
      <c r="O86" s="294"/>
      <c r="P86" s="294"/>
      <c r="Q86" s="294"/>
    </row>
    <row r="87" spans="3:17" ht="18.75">
      <c r="C87" s="294"/>
      <c r="D87" s="330"/>
      <c r="E87" s="330"/>
      <c r="F87" s="294"/>
      <c r="G87" s="294"/>
      <c r="H87" s="294"/>
      <c r="I87" s="294"/>
      <c r="J87" s="294"/>
      <c r="K87" s="294"/>
      <c r="L87" s="294"/>
      <c r="M87" s="294"/>
      <c r="N87" s="294"/>
      <c r="O87" s="294"/>
      <c r="P87" s="294"/>
      <c r="Q87" s="294"/>
    </row>
    <row r="88" spans="3:17" ht="22.5" customHeight="1">
      <c r="C88" s="294"/>
      <c r="D88" s="330"/>
      <c r="E88" s="330"/>
      <c r="F88" s="294"/>
      <c r="G88" s="294"/>
      <c r="H88" s="294"/>
      <c r="I88" s="294"/>
      <c r="J88" s="294"/>
      <c r="K88" s="294"/>
      <c r="L88" s="294"/>
      <c r="M88" s="294"/>
      <c r="N88" s="294"/>
      <c r="O88" s="294"/>
      <c r="P88" s="294"/>
      <c r="Q88" s="294"/>
    </row>
    <row r="89" spans="3:17" ht="18.75">
      <c r="C89" s="294"/>
      <c r="D89" s="330"/>
      <c r="E89" s="330"/>
      <c r="F89" s="294"/>
      <c r="G89" s="294"/>
      <c r="H89" s="294"/>
      <c r="I89" s="294"/>
      <c r="J89" s="294"/>
      <c r="K89" s="294"/>
      <c r="L89" s="294"/>
      <c r="M89" s="294"/>
      <c r="N89" s="294"/>
      <c r="O89" s="294"/>
      <c r="P89" s="294"/>
      <c r="Q89" s="294"/>
    </row>
    <row r="90" spans="3:17" ht="18.75">
      <c r="C90" s="294"/>
      <c r="D90" s="330"/>
      <c r="E90" s="330"/>
      <c r="F90" s="294"/>
      <c r="G90" s="294"/>
      <c r="H90" s="294"/>
      <c r="I90" s="294"/>
      <c r="J90" s="294"/>
      <c r="K90" s="294"/>
      <c r="L90" s="294"/>
      <c r="M90" s="294"/>
      <c r="N90" s="294"/>
      <c r="O90" s="294"/>
      <c r="P90" s="294"/>
      <c r="Q90" s="294"/>
    </row>
    <row r="91" spans="3:17" ht="18.75">
      <c r="C91" s="294"/>
      <c r="D91" s="330"/>
      <c r="E91" s="330"/>
      <c r="F91" s="294"/>
      <c r="G91" s="294"/>
      <c r="H91" s="294"/>
      <c r="I91" s="294"/>
      <c r="J91" s="294"/>
      <c r="K91" s="294"/>
      <c r="L91" s="294"/>
      <c r="M91" s="294"/>
      <c r="N91" s="294"/>
      <c r="O91" s="294"/>
      <c r="P91" s="294"/>
      <c r="Q91" s="294"/>
    </row>
    <row r="92" spans="3:17" ht="18.75">
      <c r="C92" s="294"/>
      <c r="D92" s="330"/>
      <c r="E92" s="330"/>
      <c r="F92" s="294"/>
      <c r="G92" s="294"/>
      <c r="H92" s="294"/>
      <c r="I92" s="294"/>
      <c r="J92" s="294"/>
      <c r="K92" s="294"/>
      <c r="L92" s="294"/>
      <c r="M92" s="294"/>
      <c r="N92" s="294"/>
      <c r="O92" s="294"/>
      <c r="P92" s="294"/>
      <c r="Q92" s="294"/>
    </row>
    <row r="93" spans="10:17" ht="18.75">
      <c r="J93" s="294"/>
      <c r="K93" s="294"/>
      <c r="L93" s="294"/>
      <c r="M93" s="294"/>
      <c r="N93" s="294"/>
      <c r="O93" s="294"/>
      <c r="P93" s="294"/>
      <c r="Q93" s="294"/>
    </row>
  </sheetData>
  <sheetProtection/>
  <mergeCells count="20">
    <mergeCell ref="Q5:Q7"/>
    <mergeCell ref="K6:K7"/>
    <mergeCell ref="N6:N7"/>
    <mergeCell ref="I1:Q1"/>
    <mergeCell ref="A2:Q2"/>
    <mergeCell ref="A3:Q3"/>
    <mergeCell ref="K4:Q4"/>
    <mergeCell ref="G5:G7"/>
    <mergeCell ref="A5:A7"/>
    <mergeCell ref="B5:B7"/>
    <mergeCell ref="A81:I81"/>
    <mergeCell ref="I5:I7"/>
    <mergeCell ref="J5:N5"/>
    <mergeCell ref="J6:J7"/>
    <mergeCell ref="C5:C7"/>
    <mergeCell ref="D6:D7"/>
    <mergeCell ref="E6:E7"/>
    <mergeCell ref="D5:E5"/>
    <mergeCell ref="F5:F7"/>
    <mergeCell ref="H5:H7"/>
  </mergeCells>
  <printOptions horizontalCentered="1"/>
  <pageMargins left="0.2362204724409449" right="0" top="0.5118110236220472" bottom="0.5118110236220472"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Technical Support</dc:creator>
  <cp:keywords/>
  <dc:description/>
  <cp:lastModifiedBy>My PC</cp:lastModifiedBy>
  <cp:lastPrinted>2018-12-10T02:15:59Z</cp:lastPrinted>
  <dcterms:created xsi:type="dcterms:W3CDTF">2017-11-15T07:59:12Z</dcterms:created>
  <dcterms:modified xsi:type="dcterms:W3CDTF">2018-12-15T08:02:23Z</dcterms:modified>
  <cp:category/>
  <cp:version/>
  <cp:contentType/>
  <cp:contentStatus/>
</cp:coreProperties>
</file>